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olo" sheetId="1" state="visible" r:id="rId3"/>
    <sheet name="Giorni" sheetId="2" state="visible" r:id="rId4"/>
    <sheet name="Istruzion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<sst xmlns="http://schemas.openxmlformats.org/spreadsheetml/2006/main" count="33" uniqueCount="33">
  <si>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Calcolo della giacenza media annua</t>
  </si>
  <si>
    <t xml:space="preserve">OnlineFacilePro.it · Compila solo le celle gialle. Il foglio non sostituisce il dato ufficiale di banca o Poste.</t>
  </si>
  <si>
    <t xml:space="preserve">Anno di riferimento</t>
  </si>
  <si>
    <t xml:space="preserve">Saldo al 1° gennaio (€)</t>
  </si>
  <si>
    <t xml:space="preserve">Numero di intestatari del conto</t>
  </si>
  <si>
    <t xml:space="preserve">Giorni a debito contati come zero (SI / NO)</t>
  </si>
  <si>
    <t xml:space="preserve">SI</t>
  </si>
  <si>
    <t xml:space="preserve">RISULTATO</t>
  </si>
  <si>
    <t xml:space="preserve">Giacenza media annua (€)</t>
  </si>
  <si>
    <t xml:space="preserve">Somma dei saldi di ogni giorno dell'anno divisa per 365 (istruzioni DSU, D.P.C.M. 159/2013)</t>
  </si>
  <si>
    <t xml:space="preserve">Saldo al 31 dicembre (€)</t>
  </si>
  <si>
    <t xml:space="preserve">Quota di giacenza media per intestatario (€)</t>
  </si>
  <si>
    <t xml:space="preserve">Quota di saldo per intestatario (€)</t>
  </si>
  <si>
    <t xml:space="preserve">MOVIMENTI DELL'ANNO (fino a 500 righe). La prima riga è un esempio: sostituiscila con i tuoi dati.</t>
  </si>
  <si>
    <t xml:space="preserve">Data (valuta)</t>
  </si>
  <si>
    <t xml:space="preserve">Descrizione (facoltativa)</t>
  </si>
  <si>
    <t xml:space="preserve">Importo (€): + entrata, − uscita</t>
  </si>
  <si>
    <t xml:space="preserve">Esempio: stipendio</t>
  </si>
  <si>
    <t xml:space="preserve">Giorno</t>
  </si>
  <si>
    <t xml:space="preserve">Data</t>
  </si>
  <si>
    <t xml:space="preserve">Saldo a fine giornata (€)</t>
  </si>
  <si>
    <t xml:space="preserve">Saldo contato (€)</t>
  </si>
  <si>
    <t xml:space="preserve">Come usare il foglio</t>
  </si>
  <si>
    <t xml:space="preserve">1. Nel foglio "Calcolo" scrivi l'anno, il saldo che avevi il 1° gennaio e quanti sono gli intestatari.</t>
  </si>
  <si>
    <t xml:space="preserve">2. Riporta ogni movimento dell'anno con la sua data valuta: importo positivo per le entrate, negativo per le uscite.</t>
  </si>
  <si>
    <t xml:space="preserve">3. Leggi il risultato nelle celle azzurre. Il foglio "Giorni" mostra il saldo di ogni giorno.</t>
  </si>
  <si>
    <t xml:space="preserve">Come viene fatto il calcolo</t>
  </si>
  <si>
    <t xml:space="preserve">La giacenza media annua si ottiene dividendo la somma delle giacenze giornaliere per 365, indipendentemente dal numero di giorni in cui il conto è rimasto aperto.</t>
  </si>
  <si>
    <t xml:space="preserve">Fonte: Istruzioni per la compilazione della DSU (D.P.C.M. 159/2013), INPS e Ministero del Lavoro.</t>
  </si>
  <si>
    <t xml:space="preserve">Negli anni bisestili i giorni sommati sono 366, ma il divisore resta 365, come indicato dalle istruzioni.</t>
  </si>
  <si>
    <t xml:space="preserve">Le istruzioni definiscono la giacenza media come importo medio delle "somme a credito del cliente": per questo, come impostazione predefinita, i giorni con saldo negativo contano zero. Puoi cambiarla nella cella B7.</t>
  </si>
  <si>
    <t xml:space="preserve">Attenzione</t>
  </si>
  <si>
    <t xml:space="preserve">Per l'ISEE vale il dato comunicato dalla banca o da Poste. Usa questo foglio per fare una stima o un controllo. In caso di differenze chiedi alla banca, a un CAF o a un professionista.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</si>
</sst>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"/>
    <numFmt numFmtId="167" formatCode="@"/>
    <numFmt numFmtId="168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213F"/>
      <name val="Arial"/>
      <family val="0"/>
      <charset val="1"/>
    </font>
    <font>
      <sz val="10"/>
      <color rgb="FF5A6477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454F5"/>
      <name val="Arial"/>
      <family val="0"/>
      <charset val="1"/>
    </font>
    <font>
      <sz val="9"/>
      <color rgb="FF5A64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FFFFFF"/>
      </patternFill>
    </fill>
    <fill>
      <patternFill patternType="solid">
        <fgColor rgb="FFEAF1FF"/>
        <bgColor rgb="FFFFFFFF"/>
      </patternFill>
    </fill>
    <fill>
      <patternFill patternType="solid">
        <fgColor rgb="FF10213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E0"/>
      </left>
      <right style="thin">
        <color rgb="FFC9D2E0"/>
      </right>
      <top style="thin">
        <color rgb="FFC9D2E0"/>
      </top>
      <bottom style="thin">
        <color rgb="FFC9D2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AF1FF"/>
      <rgbColor rgb="FF660066"/>
      <rgbColor rgb="FFFF8080"/>
      <rgbColor rgb="FF0066CC"/>
      <rgbColor rgb="FFC9D2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454F5"/>
      <rgbColor rgb="FF33CCCC"/>
      <rgbColor rgb="FF99CC00"/>
      <rgbColor rgb="FFFFCC00"/>
      <rgbColor rgb="FFFF9900"/>
      <rgbColor rgb="FFFF6600"/>
      <rgbColor rgb="FF5A6477"/>
      <rgbColor rgb="FF969696"/>
      <rgbColor rgb="FF10213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3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2025</v>
      </c>
    </row>
    <row r="5" customFormat="false" ht="15" hidden="false" customHeight="false" outlineLevel="0" collapsed="false">
      <c r="A5" s="3" t="s">
        <v>3</v>
      </c>
      <c r="B5" s="5" t="n">
        <v>1500</v>
      </c>
    </row>
    <row r="6" customFormat="false" ht="15" hidden="false" customHeight="false" outlineLevel="0" collapsed="false">
      <c r="A6" s="3" t="s">
        <v>4</v>
      </c>
      <c r="B6" s="4" t="n">
        <v>1</v>
      </c>
    </row>
    <row r="7" customFormat="false" ht="15" hidden="false" customHeight="false" outlineLevel="0" collapsed="false">
      <c r="A7" s="3" t="s">
        <v>5</v>
      </c>
      <c r="B7" s="6" t="s">
        <v>6</v>
      </c>
    </row>
    <row r="9" customFormat="false" ht="15" hidden="false" customHeight="false" outlineLevel="0" collapsed="false">
      <c r="A9" s="7" t="s">
        <v>7</v>
      </c>
    </row>
    <row r="10" customFormat="false" ht="15" hidden="false" customHeight="false" outlineLevel="0" collapsed="false">
      <c r="A10" s="3" t="s">
        <v>8</v>
      </c>
      <c r="B10" s="8" t="n">
        <f aca="false">ROUND(SUM(Giorni!D2:D367)/365,2)</f>
        <v>2476.44</v>
      </c>
      <c r="C10" s="9" t="s">
        <v>9</v>
      </c>
    </row>
    <row r="11" customFormat="false" ht="15" hidden="false" customHeight="false" outlineLevel="0" collapsed="false">
      <c r="A11" s="3" t="s">
        <v>10</v>
      </c>
      <c r="B11" s="8" t="n">
        <f aca="false">ROUND(B5+SUMIFS(C16:C515,A16:A515,"&gt;="&amp;DATE(B4,1,1),A16:A515,"&lt;="&amp;DATE(B4,12,31)),2)</f>
        <v>2700</v>
      </c>
    </row>
    <row r="12" customFormat="false" ht="15" hidden="false" customHeight="false" outlineLevel="0" collapsed="false">
      <c r="A12" s="3" t="s">
        <v>11</v>
      </c>
      <c r="B12" s="8" t="n">
        <f aca="false">ROUND(B10/B6,2)</f>
        <v>2476.44</v>
      </c>
    </row>
    <row r="13" customFormat="false" ht="15" hidden="false" customHeight="false" outlineLevel="0" collapsed="false">
      <c r="A13" s="3" t="s">
        <v>12</v>
      </c>
      <c r="B13" s="8" t="n">
        <f aca="false">ROUND(B11/B6,2)</f>
        <v>2700</v>
      </c>
    </row>
    <row r="14" customFormat="false" ht="15" hidden="false" customHeight="false" outlineLevel="0" collapsed="false">
      <c r="A14" s="3" t="s">
        <v>13</v>
      </c>
    </row>
    <row r="15" customFormat="false" ht="15" hidden="false" customHeight="false" outlineLevel="0" collapsed="false">
      <c r="A15" s="10" t="s">
        <v>14</v>
      </c>
      <c r="B15" s="10" t="s">
        <v>15</v>
      </c>
      <c r="C15" s="10" t="s">
        <v>16</v>
      </c>
    </row>
    <row r="16" customFormat="false" ht="15" hidden="false" customHeight="false" outlineLevel="0" collapsed="false">
      <c r="A16" s="11" t="n">
        <v>45726</v>
      </c>
      <c r="B16" s="12" t="s">
        <v>17</v>
      </c>
      <c r="C16" s="13" t="n">
        <v>1200</v>
      </c>
    </row>
    <row r="17" customFormat="false" ht="15" hidden="false" customHeight="false" outlineLevel="0" collapsed="false">
      <c r="A17" s="11"/>
      <c r="B17" s="12"/>
      <c r="C17" s="13"/>
    </row>
    <row r="18" customFormat="false" ht="15" hidden="false" customHeight="false" outlineLevel="0" collapsed="false">
      <c r="A18" s="11"/>
      <c r="B18" s="12"/>
      <c r="C18" s="13"/>
    </row>
    <row r="19" customFormat="false" ht="15" hidden="false" customHeight="false" outlineLevel="0" collapsed="false">
      <c r="A19" s="11"/>
      <c r="B19" s="12"/>
      <c r="C19" s="13"/>
    </row>
    <row r="20" customFormat="false" ht="15" hidden="false" customHeight="false" outlineLevel="0" collapsed="false">
      <c r="A20" s="11"/>
      <c r="B20" s="12"/>
      <c r="C20" s="13"/>
    </row>
    <row r="21" customFormat="false" ht="15" hidden="false" customHeight="false" outlineLevel="0" collapsed="false">
      <c r="A21" s="11"/>
      <c r="B21" s="12"/>
      <c r="C21" s="13"/>
    </row>
    <row r="22" customFormat="false" ht="15" hidden="false" customHeight="false" outlineLevel="0" collapsed="false">
      <c r="A22" s="11"/>
      <c r="B22" s="12"/>
      <c r="C22" s="13"/>
    </row>
    <row r="23" customFormat="false" ht="15" hidden="false" customHeight="false" outlineLevel="0" collapsed="false">
      <c r="A23" s="11"/>
      <c r="B23" s="12"/>
      <c r="C23" s="13"/>
    </row>
    <row r="24" customFormat="false" ht="15" hidden="false" customHeight="false" outlineLevel="0" collapsed="false">
      <c r="A24" s="11"/>
      <c r="B24" s="12"/>
      <c r="C24" s="13"/>
    </row>
    <row r="25" customFormat="false" ht="15" hidden="false" customHeight="false" outlineLevel="0" collapsed="false">
      <c r="A25" s="11"/>
      <c r="B25" s="12"/>
      <c r="C25" s="13"/>
    </row>
    <row r="26" customFormat="false" ht="15" hidden="false" customHeight="false" outlineLevel="0" collapsed="false">
      <c r="A26" s="11"/>
      <c r="B26" s="12"/>
      <c r="C26" s="13"/>
    </row>
    <row r="27" customFormat="false" ht="15" hidden="false" customHeight="false" outlineLevel="0" collapsed="false">
      <c r="A27" s="11"/>
      <c r="B27" s="12"/>
      <c r="C27" s="13"/>
    </row>
    <row r="28" customFormat="false" ht="15" hidden="false" customHeight="false" outlineLevel="0" collapsed="false">
      <c r="A28" s="11"/>
      <c r="B28" s="12"/>
      <c r="C28" s="13"/>
    </row>
    <row r="29" customFormat="false" ht="15" hidden="false" customHeight="false" outlineLevel="0" collapsed="false">
      <c r="A29" s="11"/>
      <c r="B29" s="12"/>
      <c r="C29" s="13"/>
    </row>
    <row r="30" customFormat="false" ht="15" hidden="false" customHeight="false" outlineLevel="0" collapsed="false">
      <c r="A30" s="11"/>
      <c r="B30" s="12"/>
      <c r="C30" s="13"/>
    </row>
    <row r="31" customFormat="false" ht="15" hidden="false" customHeight="false" outlineLevel="0" collapsed="false">
      <c r="A31" s="11"/>
      <c r="B31" s="12"/>
      <c r="C31" s="13"/>
    </row>
    <row r="32" customFormat="false" ht="15" hidden="false" customHeight="false" outlineLevel="0" collapsed="false">
      <c r="A32" s="11"/>
      <c r="B32" s="12"/>
      <c r="C32" s="13"/>
    </row>
    <row r="33" customFormat="false" ht="15" hidden="false" customHeight="false" outlineLevel="0" collapsed="false">
      <c r="A33" s="11"/>
      <c r="B33" s="12"/>
      <c r="C33" s="13"/>
    </row>
    <row r="34" customFormat="false" ht="15" hidden="false" customHeight="false" outlineLevel="0" collapsed="false">
      <c r="A34" s="11"/>
      <c r="B34" s="12"/>
      <c r="C34" s="13"/>
    </row>
    <row r="35" customFormat="false" ht="15" hidden="false" customHeight="false" outlineLevel="0" collapsed="false">
      <c r="A35" s="11"/>
      <c r="B35" s="12"/>
      <c r="C35" s="13"/>
    </row>
    <row r="36" customFormat="false" ht="15" hidden="false" customHeight="false" outlineLevel="0" collapsed="false">
      <c r="A36" s="11"/>
      <c r="B36" s="12"/>
      <c r="C36" s="13"/>
    </row>
    <row r="37" customFormat="false" ht="15" hidden="false" customHeight="false" outlineLevel="0" collapsed="false">
      <c r="A37" s="11"/>
      <c r="B37" s="12"/>
      <c r="C37" s="13"/>
    </row>
    <row r="38" customFormat="false" ht="15" hidden="false" customHeight="false" outlineLevel="0" collapsed="false">
      <c r="A38" s="11"/>
      <c r="B38" s="12"/>
      <c r="C38" s="13"/>
    </row>
    <row r="39" customFormat="false" ht="15" hidden="false" customHeight="false" outlineLevel="0" collapsed="false">
      <c r="A39" s="11"/>
      <c r="B39" s="12"/>
      <c r="C39" s="13"/>
    </row>
    <row r="40" customFormat="false" ht="15" hidden="false" customHeight="false" outlineLevel="0" collapsed="false">
      <c r="A40" s="11"/>
      <c r="B40" s="12"/>
      <c r="C40" s="13"/>
    </row>
    <row r="41" customFormat="false" ht="15" hidden="false" customHeight="false" outlineLevel="0" collapsed="false">
      <c r="A41" s="11"/>
      <c r="B41" s="12"/>
      <c r="C41" s="13"/>
    </row>
    <row r="42" customFormat="false" ht="15" hidden="false" customHeight="false" outlineLevel="0" collapsed="false">
      <c r="A42" s="11"/>
      <c r="B42" s="12"/>
      <c r="C42" s="13"/>
    </row>
    <row r="43" customFormat="false" ht="15" hidden="false" customHeight="false" outlineLevel="0" collapsed="false">
      <c r="A43" s="11"/>
      <c r="B43" s="12"/>
      <c r="C43" s="13"/>
    </row>
    <row r="44" customFormat="false" ht="15" hidden="false" customHeight="false" outlineLevel="0" collapsed="false">
      <c r="A44" s="11"/>
      <c r="B44" s="12"/>
      <c r="C44" s="13"/>
    </row>
    <row r="45" customFormat="false" ht="15" hidden="false" customHeight="false" outlineLevel="0" collapsed="false">
      <c r="A45" s="11"/>
      <c r="B45" s="12"/>
      <c r="C45" s="13"/>
    </row>
    <row r="46" customFormat="false" ht="15" hidden="false" customHeight="false" outlineLevel="0" collapsed="false">
      <c r="A46" s="11"/>
      <c r="B46" s="12"/>
      <c r="C46" s="13"/>
    </row>
    <row r="47" customFormat="false" ht="15" hidden="false" customHeight="false" outlineLevel="0" collapsed="false">
      <c r="A47" s="11"/>
      <c r="B47" s="12"/>
      <c r="C47" s="13"/>
    </row>
    <row r="48" customFormat="false" ht="15" hidden="false" customHeight="false" outlineLevel="0" collapsed="false">
      <c r="A48" s="11"/>
      <c r="B48" s="12"/>
      <c r="C48" s="13"/>
    </row>
    <row r="49" customFormat="false" ht="15" hidden="false" customHeight="false" outlineLevel="0" collapsed="false">
      <c r="A49" s="11"/>
      <c r="B49" s="12"/>
      <c r="C49" s="13"/>
    </row>
    <row r="50" customFormat="false" ht="15" hidden="false" customHeight="false" outlineLevel="0" collapsed="false">
      <c r="A50" s="11"/>
      <c r="B50" s="12"/>
      <c r="C50" s="13"/>
    </row>
    <row r="51" customFormat="false" ht="15" hidden="false" customHeight="false" outlineLevel="0" collapsed="false">
      <c r="A51" s="11"/>
      <c r="B51" s="12"/>
      <c r="C51" s="13"/>
    </row>
    <row r="52" customFormat="false" ht="15" hidden="false" customHeight="false" outlineLevel="0" collapsed="false">
      <c r="A52" s="11"/>
      <c r="B52" s="12"/>
      <c r="C52" s="13"/>
    </row>
    <row r="53" customFormat="false" ht="15" hidden="false" customHeight="false" outlineLevel="0" collapsed="false">
      <c r="A53" s="11"/>
      <c r="B53" s="12"/>
      <c r="C53" s="13"/>
    </row>
    <row r="54" customFormat="false" ht="15" hidden="false" customHeight="false" outlineLevel="0" collapsed="false">
      <c r="A54" s="11"/>
      <c r="B54" s="12"/>
      <c r="C54" s="13"/>
    </row>
    <row r="55" customFormat="false" ht="15" hidden="false" customHeight="false" outlineLevel="0" collapsed="false">
      <c r="A55" s="11"/>
      <c r="B55" s="12"/>
      <c r="C55" s="13"/>
    </row>
    <row r="56" customFormat="false" ht="15" hidden="false" customHeight="false" outlineLevel="0" collapsed="false">
      <c r="A56" s="11"/>
      <c r="B56" s="12"/>
      <c r="C56" s="13"/>
    </row>
    <row r="57" customFormat="false" ht="15" hidden="false" customHeight="false" outlineLevel="0" collapsed="false">
      <c r="A57" s="11"/>
      <c r="B57" s="12"/>
      <c r="C57" s="13"/>
    </row>
    <row r="58" customFormat="false" ht="15" hidden="false" customHeight="false" outlineLevel="0" collapsed="false">
      <c r="A58" s="11"/>
      <c r="B58" s="12"/>
      <c r="C58" s="13"/>
    </row>
    <row r="59" customFormat="false" ht="15" hidden="false" customHeight="false" outlineLevel="0" collapsed="false">
      <c r="A59" s="11"/>
      <c r="B59" s="12"/>
      <c r="C59" s="13"/>
    </row>
    <row r="60" customFormat="false" ht="15" hidden="false" customHeight="false" outlineLevel="0" collapsed="false">
      <c r="A60" s="11"/>
      <c r="B60" s="12"/>
      <c r="C60" s="13"/>
    </row>
    <row r="61" customFormat="false" ht="15" hidden="false" customHeight="false" outlineLevel="0" collapsed="false">
      <c r="A61" s="11"/>
      <c r="B61" s="12"/>
      <c r="C61" s="13"/>
    </row>
    <row r="62" customFormat="false" ht="15" hidden="false" customHeight="false" outlineLevel="0" collapsed="false">
      <c r="A62" s="11"/>
      <c r="B62" s="12"/>
      <c r="C62" s="13"/>
    </row>
    <row r="63" customFormat="false" ht="15" hidden="false" customHeight="false" outlineLevel="0" collapsed="false">
      <c r="A63" s="11"/>
      <c r="B63" s="12"/>
      <c r="C63" s="13"/>
    </row>
    <row r="64" customFormat="false" ht="15" hidden="false" customHeight="false" outlineLevel="0" collapsed="false">
      <c r="A64" s="11"/>
      <c r="B64" s="12"/>
      <c r="C64" s="13"/>
    </row>
    <row r="65" customFormat="false" ht="15" hidden="false" customHeight="false" outlineLevel="0" collapsed="false">
      <c r="A65" s="11"/>
      <c r="B65" s="12"/>
      <c r="C65" s="13"/>
    </row>
    <row r="66" customFormat="false" ht="15" hidden="false" customHeight="false" outlineLevel="0" collapsed="false">
      <c r="A66" s="11"/>
      <c r="B66" s="12"/>
      <c r="C66" s="13"/>
    </row>
    <row r="67" customFormat="false" ht="15" hidden="false" customHeight="false" outlineLevel="0" collapsed="false">
      <c r="A67" s="11"/>
      <c r="B67" s="12"/>
      <c r="C67" s="13"/>
    </row>
    <row r="68" customFormat="false" ht="15" hidden="false" customHeight="false" outlineLevel="0" collapsed="false">
      <c r="A68" s="11"/>
      <c r="B68" s="12"/>
      <c r="C68" s="13"/>
    </row>
    <row r="69" customFormat="false" ht="15" hidden="false" customHeight="false" outlineLevel="0" collapsed="false">
      <c r="A69" s="11"/>
      <c r="B69" s="12"/>
      <c r="C69" s="13"/>
    </row>
    <row r="70" customFormat="false" ht="15" hidden="false" customHeight="false" outlineLevel="0" collapsed="false">
      <c r="A70" s="11"/>
      <c r="B70" s="12"/>
      <c r="C70" s="13"/>
    </row>
    <row r="71" customFormat="false" ht="15" hidden="false" customHeight="false" outlineLevel="0" collapsed="false">
      <c r="A71" s="11"/>
      <c r="B71" s="12"/>
      <c r="C71" s="13"/>
    </row>
    <row r="72" customFormat="false" ht="15" hidden="false" customHeight="false" outlineLevel="0" collapsed="false">
      <c r="A72" s="11"/>
      <c r="B72" s="12"/>
      <c r="C72" s="13"/>
    </row>
    <row r="73" customFormat="false" ht="15" hidden="false" customHeight="false" outlineLevel="0" collapsed="false">
      <c r="A73" s="11"/>
      <c r="B73" s="12"/>
      <c r="C73" s="13"/>
    </row>
    <row r="74" customFormat="false" ht="15" hidden="false" customHeight="false" outlineLevel="0" collapsed="false">
      <c r="A74" s="11"/>
      <c r="B74" s="12"/>
      <c r="C74" s="13"/>
    </row>
    <row r="75" customFormat="false" ht="15" hidden="false" customHeight="false" outlineLevel="0" collapsed="false">
      <c r="A75" s="11"/>
      <c r="B75" s="12"/>
      <c r="C75" s="13"/>
    </row>
    <row r="76" customFormat="false" ht="15" hidden="false" customHeight="false" outlineLevel="0" collapsed="false">
      <c r="A76" s="11"/>
      <c r="B76" s="12"/>
      <c r="C76" s="13"/>
    </row>
    <row r="77" customFormat="false" ht="15" hidden="false" customHeight="false" outlineLevel="0" collapsed="false">
      <c r="A77" s="11"/>
      <c r="B77" s="12"/>
      <c r="C77" s="13"/>
    </row>
    <row r="78" customFormat="false" ht="15" hidden="false" customHeight="false" outlineLevel="0" collapsed="false">
      <c r="A78" s="11"/>
      <c r="B78" s="12"/>
      <c r="C78" s="13"/>
    </row>
    <row r="79" customFormat="false" ht="15" hidden="false" customHeight="false" outlineLevel="0" collapsed="false">
      <c r="A79" s="11"/>
      <c r="B79" s="12"/>
      <c r="C79" s="13"/>
    </row>
    <row r="80" customFormat="false" ht="15" hidden="false" customHeight="false" outlineLevel="0" collapsed="false">
      <c r="A80" s="11"/>
      <c r="B80" s="12"/>
      <c r="C80" s="13"/>
    </row>
    <row r="81" customFormat="false" ht="15" hidden="false" customHeight="false" outlineLevel="0" collapsed="false">
      <c r="A81" s="11"/>
      <c r="B81" s="12"/>
      <c r="C81" s="13"/>
    </row>
    <row r="82" customFormat="false" ht="15" hidden="false" customHeight="false" outlineLevel="0" collapsed="false">
      <c r="A82" s="11"/>
      <c r="B82" s="12"/>
      <c r="C82" s="13"/>
    </row>
    <row r="83" customFormat="false" ht="15" hidden="false" customHeight="false" outlineLevel="0" collapsed="false">
      <c r="A83" s="11"/>
      <c r="B83" s="12"/>
      <c r="C83" s="13"/>
    </row>
    <row r="84" customFormat="false" ht="15" hidden="false" customHeight="false" outlineLevel="0" collapsed="false">
      <c r="A84" s="11"/>
      <c r="B84" s="12"/>
      <c r="C84" s="13"/>
    </row>
    <row r="85" customFormat="false" ht="15" hidden="false" customHeight="false" outlineLevel="0" collapsed="false">
      <c r="A85" s="11"/>
      <c r="B85" s="12"/>
      <c r="C85" s="13"/>
    </row>
    <row r="86" customFormat="false" ht="15" hidden="false" customHeight="false" outlineLevel="0" collapsed="false">
      <c r="A86" s="11"/>
      <c r="B86" s="12"/>
      <c r="C86" s="13"/>
    </row>
    <row r="87" customFormat="false" ht="15" hidden="false" customHeight="false" outlineLevel="0" collapsed="false">
      <c r="A87" s="11"/>
      <c r="B87" s="12"/>
      <c r="C87" s="13"/>
    </row>
    <row r="88" customFormat="false" ht="15" hidden="false" customHeight="false" outlineLevel="0" collapsed="false">
      <c r="A88" s="11"/>
      <c r="B88" s="12"/>
      <c r="C88" s="13"/>
    </row>
    <row r="89" customFormat="false" ht="15" hidden="false" customHeight="false" outlineLevel="0" collapsed="false">
      <c r="A89" s="11"/>
      <c r="B89" s="12"/>
      <c r="C89" s="13"/>
    </row>
    <row r="90" customFormat="false" ht="15" hidden="false" customHeight="false" outlineLevel="0" collapsed="false">
      <c r="A90" s="11"/>
      <c r="B90" s="12"/>
      <c r="C90" s="13"/>
    </row>
    <row r="91" customFormat="false" ht="15" hidden="false" customHeight="false" outlineLevel="0" collapsed="false">
      <c r="A91" s="11"/>
      <c r="B91" s="12"/>
      <c r="C91" s="13"/>
    </row>
    <row r="92" customFormat="false" ht="15" hidden="false" customHeight="false" outlineLevel="0" collapsed="false">
      <c r="A92" s="11"/>
      <c r="B92" s="12"/>
      <c r="C92" s="13"/>
    </row>
    <row r="93" customFormat="false" ht="15" hidden="false" customHeight="false" outlineLevel="0" collapsed="false">
      <c r="A93" s="11"/>
      <c r="B93" s="12"/>
      <c r="C93" s="13"/>
    </row>
    <row r="94" customFormat="false" ht="15" hidden="false" customHeight="false" outlineLevel="0" collapsed="false">
      <c r="A94" s="11"/>
      <c r="B94" s="12"/>
      <c r="C94" s="13"/>
    </row>
    <row r="95" customFormat="false" ht="15" hidden="false" customHeight="false" outlineLevel="0" collapsed="false">
      <c r="A95" s="11"/>
      <c r="B95" s="12"/>
      <c r="C95" s="13"/>
    </row>
    <row r="96" customFormat="false" ht="15" hidden="false" customHeight="false" outlineLevel="0" collapsed="false">
      <c r="A96" s="11"/>
      <c r="B96" s="12"/>
      <c r="C96" s="13"/>
    </row>
    <row r="97" customFormat="false" ht="15" hidden="false" customHeight="false" outlineLevel="0" collapsed="false">
      <c r="A97" s="11"/>
      <c r="B97" s="12"/>
      <c r="C97" s="13"/>
    </row>
    <row r="98" customFormat="false" ht="15" hidden="false" customHeight="false" outlineLevel="0" collapsed="false">
      <c r="A98" s="11"/>
      <c r="B98" s="12"/>
      <c r="C98" s="13"/>
    </row>
    <row r="99" customFormat="false" ht="15" hidden="false" customHeight="false" outlineLevel="0" collapsed="false">
      <c r="A99" s="11"/>
      <c r="B99" s="12"/>
      <c r="C99" s="13"/>
    </row>
    <row r="100" customFormat="false" ht="15" hidden="false" customHeight="false" outlineLevel="0" collapsed="false">
      <c r="A100" s="11"/>
      <c r="B100" s="12"/>
      <c r="C100" s="13"/>
    </row>
    <row r="101" customFormat="false" ht="15" hidden="false" customHeight="false" outlineLevel="0" collapsed="false">
      <c r="A101" s="11"/>
      <c r="B101" s="12"/>
      <c r="C101" s="13"/>
    </row>
    <row r="102" customFormat="false" ht="15" hidden="false" customHeight="false" outlineLevel="0" collapsed="false">
      <c r="A102" s="11"/>
      <c r="B102" s="12"/>
      <c r="C102" s="13"/>
    </row>
    <row r="103" customFormat="false" ht="15" hidden="false" customHeight="false" outlineLevel="0" collapsed="false">
      <c r="A103" s="11"/>
      <c r="B103" s="12"/>
      <c r="C103" s="13"/>
    </row>
    <row r="104" customFormat="false" ht="15" hidden="false" customHeight="false" outlineLevel="0" collapsed="false">
      <c r="A104" s="11"/>
      <c r="B104" s="12"/>
      <c r="C104" s="13"/>
    </row>
    <row r="105" customFormat="false" ht="15" hidden="false" customHeight="false" outlineLevel="0" collapsed="false">
      <c r="A105" s="11"/>
      <c r="B105" s="12"/>
      <c r="C105" s="13"/>
    </row>
    <row r="106" customFormat="false" ht="15" hidden="false" customHeight="false" outlineLevel="0" collapsed="false">
      <c r="A106" s="11"/>
      <c r="B106" s="12"/>
      <c r="C106" s="13"/>
    </row>
    <row r="107" customFormat="false" ht="15" hidden="false" customHeight="false" outlineLevel="0" collapsed="false">
      <c r="A107" s="11"/>
      <c r="B107" s="12"/>
      <c r="C107" s="13"/>
    </row>
    <row r="108" customFormat="false" ht="15" hidden="false" customHeight="false" outlineLevel="0" collapsed="false">
      <c r="A108" s="11"/>
      <c r="B108" s="12"/>
      <c r="C108" s="13"/>
    </row>
    <row r="109" customFormat="false" ht="15" hidden="false" customHeight="false" outlineLevel="0" collapsed="false">
      <c r="A109" s="11"/>
      <c r="B109" s="12"/>
      <c r="C109" s="13"/>
    </row>
    <row r="110" customFormat="false" ht="15" hidden="false" customHeight="false" outlineLevel="0" collapsed="false">
      <c r="A110" s="11"/>
      <c r="B110" s="12"/>
      <c r="C110" s="13"/>
    </row>
    <row r="111" customFormat="false" ht="15" hidden="false" customHeight="false" outlineLevel="0" collapsed="false">
      <c r="A111" s="11"/>
      <c r="B111" s="12"/>
      <c r="C111" s="13"/>
    </row>
    <row r="112" customFormat="false" ht="15" hidden="false" customHeight="false" outlineLevel="0" collapsed="false">
      <c r="A112" s="11"/>
      <c r="B112" s="12"/>
      <c r="C112" s="13"/>
    </row>
    <row r="113" customFormat="false" ht="15" hidden="false" customHeight="false" outlineLevel="0" collapsed="false">
      <c r="A113" s="11"/>
      <c r="B113" s="12"/>
      <c r="C113" s="13"/>
    </row>
    <row r="114" customFormat="false" ht="15" hidden="false" customHeight="false" outlineLevel="0" collapsed="false">
      <c r="A114" s="11"/>
      <c r="B114" s="12"/>
      <c r="C114" s="13"/>
    </row>
    <row r="115" customFormat="false" ht="15" hidden="false" customHeight="false" outlineLevel="0" collapsed="false">
      <c r="A115" s="11"/>
      <c r="B115" s="12"/>
      <c r="C115" s="13"/>
    </row>
    <row r="116" customFormat="false" ht="15" hidden="false" customHeight="false" outlineLevel="0" collapsed="false">
      <c r="A116" s="11"/>
      <c r="B116" s="12"/>
      <c r="C116" s="13"/>
    </row>
    <row r="117" customFormat="false" ht="15" hidden="false" customHeight="false" outlineLevel="0" collapsed="false">
      <c r="A117" s="11"/>
      <c r="B117" s="12"/>
      <c r="C117" s="13"/>
    </row>
    <row r="118" customFormat="false" ht="15" hidden="false" customHeight="false" outlineLevel="0" collapsed="false">
      <c r="A118" s="11"/>
      <c r="B118" s="12"/>
      <c r="C118" s="13"/>
    </row>
    <row r="119" customFormat="false" ht="15" hidden="false" customHeight="false" outlineLevel="0" collapsed="false">
      <c r="A119" s="11"/>
      <c r="B119" s="12"/>
      <c r="C119" s="13"/>
    </row>
    <row r="120" customFormat="false" ht="15" hidden="false" customHeight="false" outlineLevel="0" collapsed="false">
      <c r="A120" s="11"/>
      <c r="B120" s="12"/>
      <c r="C120" s="13"/>
    </row>
    <row r="121" customFormat="false" ht="15" hidden="false" customHeight="false" outlineLevel="0" collapsed="false">
      <c r="A121" s="11"/>
      <c r="B121" s="12"/>
      <c r="C121" s="13"/>
    </row>
    <row r="122" customFormat="false" ht="15" hidden="false" customHeight="false" outlineLevel="0" collapsed="false">
      <c r="A122" s="11"/>
      <c r="B122" s="12"/>
      <c r="C122" s="13"/>
    </row>
    <row r="123" customFormat="false" ht="15" hidden="false" customHeight="false" outlineLevel="0" collapsed="false">
      <c r="A123" s="11"/>
      <c r="B123" s="12"/>
      <c r="C123" s="13"/>
    </row>
    <row r="124" customFormat="false" ht="15" hidden="false" customHeight="false" outlineLevel="0" collapsed="false">
      <c r="A124" s="11"/>
      <c r="B124" s="12"/>
      <c r="C124" s="13"/>
    </row>
    <row r="125" customFormat="false" ht="15" hidden="false" customHeight="false" outlineLevel="0" collapsed="false">
      <c r="A125" s="11"/>
      <c r="B125" s="12"/>
      <c r="C125" s="13"/>
    </row>
    <row r="126" customFormat="false" ht="15" hidden="false" customHeight="false" outlineLevel="0" collapsed="false">
      <c r="A126" s="11"/>
      <c r="B126" s="12"/>
      <c r="C126" s="13"/>
    </row>
    <row r="127" customFormat="false" ht="15" hidden="false" customHeight="false" outlineLevel="0" collapsed="false">
      <c r="A127" s="11"/>
      <c r="B127" s="12"/>
      <c r="C127" s="13"/>
    </row>
    <row r="128" customFormat="false" ht="15" hidden="false" customHeight="false" outlineLevel="0" collapsed="false">
      <c r="A128" s="11"/>
      <c r="B128" s="12"/>
      <c r="C128" s="13"/>
    </row>
    <row r="129" customFormat="false" ht="15" hidden="false" customHeight="false" outlineLevel="0" collapsed="false">
      <c r="A129" s="11"/>
      <c r="B129" s="12"/>
      <c r="C129" s="13"/>
    </row>
    <row r="130" customFormat="false" ht="15" hidden="false" customHeight="false" outlineLevel="0" collapsed="false">
      <c r="A130" s="11"/>
      <c r="B130" s="12"/>
      <c r="C130" s="13"/>
    </row>
    <row r="131" customFormat="false" ht="15" hidden="false" customHeight="false" outlineLevel="0" collapsed="false">
      <c r="A131" s="11"/>
      <c r="B131" s="12"/>
      <c r="C131" s="13"/>
    </row>
    <row r="132" customFormat="false" ht="15" hidden="false" customHeight="false" outlineLevel="0" collapsed="false">
      <c r="A132" s="11"/>
      <c r="B132" s="12"/>
      <c r="C132" s="13"/>
    </row>
    <row r="133" customFormat="false" ht="15" hidden="false" customHeight="false" outlineLevel="0" collapsed="false">
      <c r="A133" s="11"/>
      <c r="B133" s="12"/>
      <c r="C133" s="13"/>
    </row>
    <row r="134" customFormat="false" ht="15" hidden="false" customHeight="false" outlineLevel="0" collapsed="false">
      <c r="A134" s="11"/>
      <c r="B134" s="12"/>
      <c r="C134" s="13"/>
    </row>
    <row r="135" customFormat="false" ht="15" hidden="false" customHeight="false" outlineLevel="0" collapsed="false">
      <c r="A135" s="11"/>
      <c r="B135" s="12"/>
      <c r="C135" s="13"/>
    </row>
    <row r="136" customFormat="false" ht="15" hidden="false" customHeight="false" outlineLevel="0" collapsed="false">
      <c r="A136" s="11"/>
      <c r="B136" s="12"/>
      <c r="C136" s="13"/>
    </row>
    <row r="137" customFormat="false" ht="15" hidden="false" customHeight="false" outlineLevel="0" collapsed="false">
      <c r="A137" s="11"/>
      <c r="B137" s="12"/>
      <c r="C137" s="13"/>
    </row>
    <row r="138" customFormat="false" ht="15" hidden="false" customHeight="false" outlineLevel="0" collapsed="false">
      <c r="A138" s="11"/>
      <c r="B138" s="12"/>
      <c r="C138" s="13"/>
    </row>
    <row r="139" customFormat="false" ht="15" hidden="false" customHeight="false" outlineLevel="0" collapsed="false">
      <c r="A139" s="11"/>
      <c r="B139" s="12"/>
      <c r="C139" s="13"/>
    </row>
    <row r="140" customFormat="false" ht="15" hidden="false" customHeight="false" outlineLevel="0" collapsed="false">
      <c r="A140" s="11"/>
      <c r="B140" s="12"/>
      <c r="C140" s="13"/>
    </row>
    <row r="141" customFormat="false" ht="15" hidden="false" customHeight="false" outlineLevel="0" collapsed="false">
      <c r="A141" s="11"/>
      <c r="B141" s="12"/>
      <c r="C141" s="13"/>
    </row>
    <row r="142" customFormat="false" ht="15" hidden="false" customHeight="false" outlineLevel="0" collapsed="false">
      <c r="A142" s="11"/>
      <c r="B142" s="12"/>
      <c r="C142" s="13"/>
    </row>
    <row r="143" customFormat="false" ht="15" hidden="false" customHeight="false" outlineLevel="0" collapsed="false">
      <c r="A143" s="11"/>
      <c r="B143" s="12"/>
      <c r="C143" s="13"/>
    </row>
    <row r="144" customFormat="false" ht="15" hidden="false" customHeight="false" outlineLevel="0" collapsed="false">
      <c r="A144" s="11"/>
      <c r="B144" s="12"/>
      <c r="C144" s="13"/>
    </row>
    <row r="145" customFormat="false" ht="15" hidden="false" customHeight="false" outlineLevel="0" collapsed="false">
      <c r="A145" s="11"/>
      <c r="B145" s="12"/>
      <c r="C145" s="13"/>
    </row>
    <row r="146" customFormat="false" ht="15" hidden="false" customHeight="false" outlineLevel="0" collapsed="false">
      <c r="A146" s="11"/>
      <c r="B146" s="12"/>
      <c r="C146" s="13"/>
    </row>
    <row r="147" customFormat="false" ht="15" hidden="false" customHeight="false" outlineLevel="0" collapsed="false">
      <c r="A147" s="11"/>
      <c r="B147" s="12"/>
      <c r="C147" s="13"/>
    </row>
    <row r="148" customFormat="false" ht="15" hidden="false" customHeight="false" outlineLevel="0" collapsed="false">
      <c r="A148" s="11"/>
      <c r="B148" s="12"/>
      <c r="C148" s="13"/>
    </row>
    <row r="149" customFormat="false" ht="15" hidden="false" customHeight="false" outlineLevel="0" collapsed="false">
      <c r="A149" s="11"/>
      <c r="B149" s="12"/>
      <c r="C149" s="13"/>
    </row>
    <row r="150" customFormat="false" ht="15" hidden="false" customHeight="false" outlineLevel="0" collapsed="false">
      <c r="A150" s="11"/>
      <c r="B150" s="12"/>
      <c r="C150" s="13"/>
    </row>
    <row r="151" customFormat="false" ht="15" hidden="false" customHeight="false" outlineLevel="0" collapsed="false">
      <c r="A151" s="11"/>
      <c r="B151" s="12"/>
      <c r="C151" s="13"/>
    </row>
    <row r="152" customFormat="false" ht="15" hidden="false" customHeight="false" outlineLevel="0" collapsed="false">
      <c r="A152" s="11"/>
      <c r="B152" s="12"/>
      <c r="C152" s="13"/>
    </row>
    <row r="153" customFormat="false" ht="15" hidden="false" customHeight="false" outlineLevel="0" collapsed="false">
      <c r="A153" s="11"/>
      <c r="B153" s="12"/>
      <c r="C153" s="13"/>
    </row>
    <row r="154" customFormat="false" ht="15" hidden="false" customHeight="false" outlineLevel="0" collapsed="false">
      <c r="A154" s="11"/>
      <c r="B154" s="12"/>
      <c r="C154" s="13"/>
    </row>
    <row r="155" customFormat="false" ht="15" hidden="false" customHeight="false" outlineLevel="0" collapsed="false">
      <c r="A155" s="11"/>
      <c r="B155" s="12"/>
      <c r="C155" s="13"/>
    </row>
    <row r="156" customFormat="false" ht="15" hidden="false" customHeight="false" outlineLevel="0" collapsed="false">
      <c r="A156" s="11"/>
      <c r="B156" s="12"/>
      <c r="C156" s="13"/>
    </row>
    <row r="157" customFormat="false" ht="15" hidden="false" customHeight="false" outlineLevel="0" collapsed="false">
      <c r="A157" s="11"/>
      <c r="B157" s="12"/>
      <c r="C157" s="13"/>
    </row>
    <row r="158" customFormat="false" ht="15" hidden="false" customHeight="false" outlineLevel="0" collapsed="false">
      <c r="A158" s="11"/>
      <c r="B158" s="12"/>
      <c r="C158" s="13"/>
    </row>
    <row r="159" customFormat="false" ht="15" hidden="false" customHeight="false" outlineLevel="0" collapsed="false">
      <c r="A159" s="11"/>
      <c r="B159" s="12"/>
      <c r="C159" s="13"/>
    </row>
    <row r="160" customFormat="false" ht="15" hidden="false" customHeight="false" outlineLevel="0" collapsed="false">
      <c r="A160" s="11"/>
      <c r="B160" s="12"/>
      <c r="C160" s="13"/>
    </row>
    <row r="161" customFormat="false" ht="15" hidden="false" customHeight="false" outlineLevel="0" collapsed="false">
      <c r="A161" s="11"/>
      <c r="B161" s="12"/>
      <c r="C161" s="13"/>
    </row>
    <row r="162" customFormat="false" ht="15" hidden="false" customHeight="false" outlineLevel="0" collapsed="false">
      <c r="A162" s="11"/>
      <c r="B162" s="12"/>
      <c r="C162" s="13"/>
    </row>
    <row r="163" customFormat="false" ht="15" hidden="false" customHeight="false" outlineLevel="0" collapsed="false">
      <c r="A163" s="11"/>
      <c r="B163" s="12"/>
      <c r="C163" s="13"/>
    </row>
    <row r="164" customFormat="false" ht="15" hidden="false" customHeight="false" outlineLevel="0" collapsed="false">
      <c r="A164" s="11"/>
      <c r="B164" s="12"/>
      <c r="C164" s="13"/>
    </row>
    <row r="165" customFormat="false" ht="15" hidden="false" customHeight="false" outlineLevel="0" collapsed="false">
      <c r="A165" s="11"/>
      <c r="B165" s="12"/>
      <c r="C165" s="13"/>
    </row>
    <row r="166" customFormat="false" ht="15" hidden="false" customHeight="false" outlineLevel="0" collapsed="false">
      <c r="A166" s="11"/>
      <c r="B166" s="12"/>
      <c r="C166" s="13"/>
    </row>
    <row r="167" customFormat="false" ht="15" hidden="false" customHeight="false" outlineLevel="0" collapsed="false">
      <c r="A167" s="11"/>
      <c r="B167" s="12"/>
      <c r="C167" s="13"/>
    </row>
    <row r="168" customFormat="false" ht="15" hidden="false" customHeight="false" outlineLevel="0" collapsed="false">
      <c r="A168" s="11"/>
      <c r="B168" s="12"/>
      <c r="C168" s="13"/>
    </row>
    <row r="169" customFormat="false" ht="15" hidden="false" customHeight="false" outlineLevel="0" collapsed="false">
      <c r="A169" s="11"/>
      <c r="B169" s="12"/>
      <c r="C169" s="13"/>
    </row>
    <row r="170" customFormat="false" ht="15" hidden="false" customHeight="false" outlineLevel="0" collapsed="false">
      <c r="A170" s="11"/>
      <c r="B170" s="12"/>
      <c r="C170" s="13"/>
    </row>
    <row r="171" customFormat="false" ht="15" hidden="false" customHeight="false" outlineLevel="0" collapsed="false">
      <c r="A171" s="11"/>
      <c r="B171" s="12"/>
      <c r="C171" s="13"/>
    </row>
    <row r="172" customFormat="false" ht="15" hidden="false" customHeight="false" outlineLevel="0" collapsed="false">
      <c r="A172" s="11"/>
      <c r="B172" s="12"/>
      <c r="C172" s="13"/>
    </row>
    <row r="173" customFormat="false" ht="15" hidden="false" customHeight="false" outlineLevel="0" collapsed="false">
      <c r="A173" s="11"/>
      <c r="B173" s="12"/>
      <c r="C173" s="13"/>
    </row>
    <row r="174" customFormat="false" ht="15" hidden="false" customHeight="false" outlineLevel="0" collapsed="false">
      <c r="A174" s="11"/>
      <c r="B174" s="12"/>
      <c r="C174" s="13"/>
    </row>
    <row r="175" customFormat="false" ht="15" hidden="false" customHeight="false" outlineLevel="0" collapsed="false">
      <c r="A175" s="11"/>
      <c r="B175" s="12"/>
      <c r="C175" s="13"/>
    </row>
    <row r="176" customFormat="false" ht="15" hidden="false" customHeight="false" outlineLevel="0" collapsed="false">
      <c r="A176" s="11"/>
      <c r="B176" s="12"/>
      <c r="C176" s="13"/>
    </row>
    <row r="177" customFormat="false" ht="15" hidden="false" customHeight="false" outlineLevel="0" collapsed="false">
      <c r="A177" s="11"/>
      <c r="B177" s="12"/>
      <c r="C177" s="13"/>
    </row>
    <row r="178" customFormat="false" ht="15" hidden="false" customHeight="false" outlineLevel="0" collapsed="false">
      <c r="A178" s="11"/>
      <c r="B178" s="12"/>
      <c r="C178" s="13"/>
    </row>
    <row r="179" customFormat="false" ht="15" hidden="false" customHeight="false" outlineLevel="0" collapsed="false">
      <c r="A179" s="11"/>
      <c r="B179" s="12"/>
      <c r="C179" s="13"/>
    </row>
    <row r="180" customFormat="false" ht="15" hidden="false" customHeight="false" outlineLevel="0" collapsed="false">
      <c r="A180" s="11"/>
      <c r="B180" s="12"/>
      <c r="C180" s="13"/>
    </row>
    <row r="181" customFormat="false" ht="15" hidden="false" customHeight="false" outlineLevel="0" collapsed="false">
      <c r="A181" s="11"/>
      <c r="B181" s="12"/>
      <c r="C181" s="13"/>
    </row>
    <row r="182" customFormat="false" ht="15" hidden="false" customHeight="false" outlineLevel="0" collapsed="false">
      <c r="A182" s="11"/>
      <c r="B182" s="12"/>
      <c r="C182" s="13"/>
    </row>
    <row r="183" customFormat="false" ht="15" hidden="false" customHeight="false" outlineLevel="0" collapsed="false">
      <c r="A183" s="11"/>
      <c r="B183" s="12"/>
      <c r="C183" s="13"/>
    </row>
    <row r="184" customFormat="false" ht="15" hidden="false" customHeight="false" outlineLevel="0" collapsed="false">
      <c r="A184" s="11"/>
      <c r="B184" s="12"/>
      <c r="C184" s="13"/>
    </row>
    <row r="185" customFormat="false" ht="15" hidden="false" customHeight="false" outlineLevel="0" collapsed="false">
      <c r="A185" s="11"/>
      <c r="B185" s="12"/>
      <c r="C185" s="13"/>
    </row>
    <row r="186" customFormat="false" ht="15" hidden="false" customHeight="false" outlineLevel="0" collapsed="false">
      <c r="A186" s="11"/>
      <c r="B186" s="12"/>
      <c r="C186" s="13"/>
    </row>
    <row r="187" customFormat="false" ht="15" hidden="false" customHeight="false" outlineLevel="0" collapsed="false">
      <c r="A187" s="11"/>
      <c r="B187" s="12"/>
      <c r="C187" s="13"/>
    </row>
    <row r="188" customFormat="false" ht="15" hidden="false" customHeight="false" outlineLevel="0" collapsed="false">
      <c r="A188" s="11"/>
      <c r="B188" s="12"/>
      <c r="C188" s="13"/>
    </row>
    <row r="189" customFormat="false" ht="15" hidden="false" customHeight="false" outlineLevel="0" collapsed="false">
      <c r="A189" s="11"/>
      <c r="B189" s="12"/>
      <c r="C189" s="13"/>
    </row>
    <row r="190" customFormat="false" ht="15" hidden="false" customHeight="false" outlineLevel="0" collapsed="false">
      <c r="A190" s="11"/>
      <c r="B190" s="12"/>
      <c r="C190" s="13"/>
    </row>
    <row r="191" customFormat="false" ht="15" hidden="false" customHeight="false" outlineLevel="0" collapsed="false">
      <c r="A191" s="11"/>
      <c r="B191" s="12"/>
      <c r="C191" s="13"/>
    </row>
    <row r="192" customFormat="false" ht="15" hidden="false" customHeight="false" outlineLevel="0" collapsed="false">
      <c r="A192" s="11"/>
      <c r="B192" s="12"/>
      <c r="C192" s="13"/>
    </row>
    <row r="193" customFormat="false" ht="15" hidden="false" customHeight="false" outlineLevel="0" collapsed="false">
      <c r="A193" s="11"/>
      <c r="B193" s="12"/>
      <c r="C193" s="13"/>
    </row>
    <row r="194" customFormat="false" ht="15" hidden="false" customHeight="false" outlineLevel="0" collapsed="false">
      <c r="A194" s="11"/>
      <c r="B194" s="12"/>
      <c r="C194" s="13"/>
    </row>
    <row r="195" customFormat="false" ht="15" hidden="false" customHeight="false" outlineLevel="0" collapsed="false">
      <c r="A195" s="11"/>
      <c r="B195" s="12"/>
      <c r="C195" s="13"/>
    </row>
    <row r="196" customFormat="false" ht="15" hidden="false" customHeight="false" outlineLevel="0" collapsed="false">
      <c r="A196" s="11"/>
      <c r="B196" s="12"/>
      <c r="C196" s="13"/>
    </row>
    <row r="197" customFormat="false" ht="15" hidden="false" customHeight="false" outlineLevel="0" collapsed="false">
      <c r="A197" s="11"/>
      <c r="B197" s="12"/>
      <c r="C197" s="13"/>
    </row>
    <row r="198" customFormat="false" ht="15" hidden="false" customHeight="false" outlineLevel="0" collapsed="false">
      <c r="A198" s="11"/>
      <c r="B198" s="12"/>
      <c r="C198" s="13"/>
    </row>
    <row r="199" customFormat="false" ht="15" hidden="false" customHeight="false" outlineLevel="0" collapsed="false">
      <c r="A199" s="11"/>
      <c r="B199" s="12"/>
      <c r="C199" s="13"/>
    </row>
    <row r="200" customFormat="false" ht="15" hidden="false" customHeight="false" outlineLevel="0" collapsed="false">
      <c r="A200" s="11"/>
      <c r="B200" s="12"/>
      <c r="C200" s="13"/>
    </row>
    <row r="201" customFormat="false" ht="15" hidden="false" customHeight="false" outlineLevel="0" collapsed="false">
      <c r="A201" s="11"/>
      <c r="B201" s="12"/>
      <c r="C201" s="13"/>
    </row>
    <row r="202" customFormat="false" ht="15" hidden="false" customHeight="false" outlineLevel="0" collapsed="false">
      <c r="A202" s="11"/>
      <c r="B202" s="12"/>
      <c r="C202" s="13"/>
    </row>
    <row r="203" customFormat="false" ht="15" hidden="false" customHeight="false" outlineLevel="0" collapsed="false">
      <c r="A203" s="11"/>
      <c r="B203" s="12"/>
      <c r="C203" s="13"/>
    </row>
    <row r="204" customFormat="false" ht="15" hidden="false" customHeight="false" outlineLevel="0" collapsed="false">
      <c r="A204" s="11"/>
      <c r="B204" s="12"/>
      <c r="C204" s="13"/>
    </row>
    <row r="205" customFormat="false" ht="15" hidden="false" customHeight="false" outlineLevel="0" collapsed="false">
      <c r="A205" s="11"/>
      <c r="B205" s="12"/>
      <c r="C205" s="13"/>
    </row>
    <row r="206" customFormat="false" ht="15" hidden="false" customHeight="false" outlineLevel="0" collapsed="false">
      <c r="A206" s="11"/>
      <c r="B206" s="12"/>
      <c r="C206" s="13"/>
    </row>
    <row r="207" customFormat="false" ht="15" hidden="false" customHeight="false" outlineLevel="0" collapsed="false">
      <c r="A207" s="11"/>
      <c r="B207" s="12"/>
      <c r="C207" s="13"/>
    </row>
    <row r="208" customFormat="false" ht="15" hidden="false" customHeight="false" outlineLevel="0" collapsed="false">
      <c r="A208" s="11"/>
      <c r="B208" s="12"/>
      <c r="C208" s="13"/>
    </row>
    <row r="209" customFormat="false" ht="15" hidden="false" customHeight="false" outlineLevel="0" collapsed="false">
      <c r="A209" s="11"/>
      <c r="B209" s="12"/>
      <c r="C209" s="13"/>
    </row>
    <row r="210" customFormat="false" ht="15" hidden="false" customHeight="false" outlineLevel="0" collapsed="false">
      <c r="A210" s="11"/>
      <c r="B210" s="12"/>
      <c r="C210" s="13"/>
    </row>
    <row r="211" customFormat="false" ht="15" hidden="false" customHeight="false" outlineLevel="0" collapsed="false">
      <c r="A211" s="11"/>
      <c r="B211" s="12"/>
      <c r="C211" s="13"/>
    </row>
    <row r="212" customFormat="false" ht="15" hidden="false" customHeight="false" outlineLevel="0" collapsed="false">
      <c r="A212" s="11"/>
      <c r="B212" s="12"/>
      <c r="C212" s="13"/>
    </row>
    <row r="213" customFormat="false" ht="15" hidden="false" customHeight="false" outlineLevel="0" collapsed="false">
      <c r="A213" s="11"/>
      <c r="B213" s="12"/>
      <c r="C213" s="13"/>
    </row>
    <row r="214" customFormat="false" ht="15" hidden="false" customHeight="false" outlineLevel="0" collapsed="false">
      <c r="A214" s="11"/>
      <c r="B214" s="12"/>
      <c r="C214" s="13"/>
    </row>
    <row r="215" customFormat="false" ht="15" hidden="false" customHeight="false" outlineLevel="0" collapsed="false">
      <c r="A215" s="11"/>
      <c r="B215" s="12"/>
      <c r="C215" s="13"/>
    </row>
    <row r="216" customFormat="false" ht="15" hidden="false" customHeight="false" outlineLevel="0" collapsed="false">
      <c r="A216" s="11"/>
      <c r="B216" s="12"/>
      <c r="C216" s="13"/>
    </row>
    <row r="217" customFormat="false" ht="15" hidden="false" customHeight="false" outlineLevel="0" collapsed="false">
      <c r="A217" s="11"/>
      <c r="B217" s="12"/>
      <c r="C217" s="13"/>
    </row>
    <row r="218" customFormat="false" ht="15" hidden="false" customHeight="false" outlineLevel="0" collapsed="false">
      <c r="A218" s="11"/>
      <c r="B218" s="12"/>
      <c r="C218" s="13"/>
    </row>
    <row r="219" customFormat="false" ht="15" hidden="false" customHeight="false" outlineLevel="0" collapsed="false">
      <c r="A219" s="11"/>
      <c r="B219" s="12"/>
      <c r="C219" s="13"/>
    </row>
    <row r="220" customFormat="false" ht="15" hidden="false" customHeight="false" outlineLevel="0" collapsed="false">
      <c r="A220" s="11"/>
      <c r="B220" s="12"/>
      <c r="C220" s="13"/>
    </row>
    <row r="221" customFormat="false" ht="15" hidden="false" customHeight="false" outlineLevel="0" collapsed="false">
      <c r="A221" s="11"/>
      <c r="B221" s="12"/>
      <c r="C221" s="13"/>
    </row>
    <row r="222" customFormat="false" ht="15" hidden="false" customHeight="false" outlineLevel="0" collapsed="false">
      <c r="A222" s="11"/>
      <c r="B222" s="12"/>
      <c r="C222" s="13"/>
    </row>
    <row r="223" customFormat="false" ht="15" hidden="false" customHeight="false" outlineLevel="0" collapsed="false">
      <c r="A223" s="11"/>
      <c r="B223" s="12"/>
      <c r="C223" s="13"/>
    </row>
    <row r="224" customFormat="false" ht="15" hidden="false" customHeight="false" outlineLevel="0" collapsed="false">
      <c r="A224" s="11"/>
      <c r="B224" s="12"/>
      <c r="C224" s="13"/>
    </row>
    <row r="225" customFormat="false" ht="15" hidden="false" customHeight="false" outlineLevel="0" collapsed="false">
      <c r="A225" s="11"/>
      <c r="B225" s="12"/>
      <c r="C225" s="13"/>
    </row>
    <row r="226" customFormat="false" ht="15" hidden="false" customHeight="false" outlineLevel="0" collapsed="false">
      <c r="A226" s="11"/>
      <c r="B226" s="12"/>
      <c r="C226" s="13"/>
    </row>
    <row r="227" customFormat="false" ht="15" hidden="false" customHeight="false" outlineLevel="0" collapsed="false">
      <c r="A227" s="11"/>
      <c r="B227" s="12"/>
      <c r="C227" s="13"/>
    </row>
    <row r="228" customFormat="false" ht="15" hidden="false" customHeight="false" outlineLevel="0" collapsed="false">
      <c r="A228" s="11"/>
      <c r="B228" s="12"/>
      <c r="C228" s="13"/>
    </row>
    <row r="229" customFormat="false" ht="15" hidden="false" customHeight="false" outlineLevel="0" collapsed="false">
      <c r="A229" s="11"/>
      <c r="B229" s="12"/>
      <c r="C229" s="13"/>
    </row>
    <row r="230" customFormat="false" ht="15" hidden="false" customHeight="false" outlineLevel="0" collapsed="false">
      <c r="A230" s="11"/>
      <c r="B230" s="12"/>
      <c r="C230" s="13"/>
    </row>
    <row r="231" customFormat="false" ht="15" hidden="false" customHeight="false" outlineLevel="0" collapsed="false">
      <c r="A231" s="11"/>
      <c r="B231" s="12"/>
      <c r="C231" s="13"/>
    </row>
    <row r="232" customFormat="false" ht="15" hidden="false" customHeight="false" outlineLevel="0" collapsed="false">
      <c r="A232" s="11"/>
      <c r="B232" s="12"/>
      <c r="C232" s="13"/>
    </row>
    <row r="233" customFormat="false" ht="15" hidden="false" customHeight="false" outlineLevel="0" collapsed="false">
      <c r="A233" s="11"/>
      <c r="B233" s="12"/>
      <c r="C233" s="13"/>
    </row>
    <row r="234" customFormat="false" ht="15" hidden="false" customHeight="false" outlineLevel="0" collapsed="false">
      <c r="A234" s="11"/>
      <c r="B234" s="12"/>
      <c r="C234" s="13"/>
    </row>
    <row r="235" customFormat="false" ht="15" hidden="false" customHeight="false" outlineLevel="0" collapsed="false">
      <c r="A235" s="11"/>
      <c r="B235" s="12"/>
      <c r="C235" s="13"/>
    </row>
    <row r="236" customFormat="false" ht="15" hidden="false" customHeight="false" outlineLevel="0" collapsed="false">
      <c r="A236" s="11"/>
      <c r="B236" s="12"/>
      <c r="C236" s="13"/>
    </row>
    <row r="237" customFormat="false" ht="15" hidden="false" customHeight="false" outlineLevel="0" collapsed="false">
      <c r="A237" s="11"/>
      <c r="B237" s="12"/>
      <c r="C237" s="13"/>
    </row>
    <row r="238" customFormat="false" ht="15" hidden="false" customHeight="false" outlineLevel="0" collapsed="false">
      <c r="A238" s="11"/>
      <c r="B238" s="12"/>
      <c r="C238" s="13"/>
    </row>
    <row r="239" customFormat="false" ht="15" hidden="false" customHeight="false" outlineLevel="0" collapsed="false">
      <c r="A239" s="11"/>
      <c r="B239" s="12"/>
      <c r="C239" s="13"/>
    </row>
    <row r="240" customFormat="false" ht="15" hidden="false" customHeight="false" outlineLevel="0" collapsed="false">
      <c r="A240" s="11"/>
      <c r="B240" s="12"/>
      <c r="C240" s="13"/>
    </row>
    <row r="241" customFormat="false" ht="15" hidden="false" customHeight="false" outlineLevel="0" collapsed="false">
      <c r="A241" s="11"/>
      <c r="B241" s="12"/>
      <c r="C241" s="13"/>
    </row>
    <row r="242" customFormat="false" ht="15" hidden="false" customHeight="false" outlineLevel="0" collapsed="false">
      <c r="A242" s="11"/>
      <c r="B242" s="12"/>
      <c r="C242" s="13"/>
    </row>
    <row r="243" customFormat="false" ht="15" hidden="false" customHeight="false" outlineLevel="0" collapsed="false">
      <c r="A243" s="11"/>
      <c r="B243" s="12"/>
      <c r="C243" s="13"/>
    </row>
    <row r="244" customFormat="false" ht="15" hidden="false" customHeight="false" outlineLevel="0" collapsed="false">
      <c r="A244" s="11"/>
      <c r="B244" s="12"/>
      <c r="C244" s="13"/>
    </row>
    <row r="245" customFormat="false" ht="15" hidden="false" customHeight="false" outlineLevel="0" collapsed="false">
      <c r="A245" s="11"/>
      <c r="B245" s="12"/>
      <c r="C245" s="13"/>
    </row>
    <row r="246" customFormat="false" ht="15" hidden="false" customHeight="false" outlineLevel="0" collapsed="false">
      <c r="A246" s="11"/>
      <c r="B246" s="12"/>
      <c r="C246" s="13"/>
    </row>
    <row r="247" customFormat="false" ht="15" hidden="false" customHeight="false" outlineLevel="0" collapsed="false">
      <c r="A247" s="11"/>
      <c r="B247" s="12"/>
      <c r="C247" s="13"/>
    </row>
    <row r="248" customFormat="false" ht="15" hidden="false" customHeight="false" outlineLevel="0" collapsed="false">
      <c r="A248" s="11"/>
      <c r="B248" s="12"/>
      <c r="C248" s="13"/>
    </row>
    <row r="249" customFormat="false" ht="15" hidden="false" customHeight="false" outlineLevel="0" collapsed="false">
      <c r="A249" s="11"/>
      <c r="B249" s="12"/>
      <c r="C249" s="13"/>
    </row>
    <row r="250" customFormat="false" ht="15" hidden="false" customHeight="false" outlineLevel="0" collapsed="false">
      <c r="A250" s="11"/>
      <c r="B250" s="12"/>
      <c r="C250" s="13"/>
    </row>
    <row r="251" customFormat="false" ht="15" hidden="false" customHeight="false" outlineLevel="0" collapsed="false">
      <c r="A251" s="11"/>
      <c r="B251" s="12"/>
      <c r="C251" s="13"/>
    </row>
    <row r="252" customFormat="false" ht="15" hidden="false" customHeight="false" outlineLevel="0" collapsed="false">
      <c r="A252" s="11"/>
      <c r="B252" s="12"/>
      <c r="C252" s="13"/>
    </row>
    <row r="253" customFormat="false" ht="15" hidden="false" customHeight="false" outlineLevel="0" collapsed="false">
      <c r="A253" s="11"/>
      <c r="B253" s="12"/>
      <c r="C253" s="13"/>
    </row>
    <row r="254" customFormat="false" ht="15" hidden="false" customHeight="false" outlineLevel="0" collapsed="false">
      <c r="A254" s="11"/>
      <c r="B254" s="12"/>
      <c r="C254" s="13"/>
    </row>
    <row r="255" customFormat="false" ht="15" hidden="false" customHeight="false" outlineLevel="0" collapsed="false">
      <c r="A255" s="11"/>
      <c r="B255" s="12"/>
      <c r="C255" s="13"/>
    </row>
    <row r="256" customFormat="false" ht="15" hidden="false" customHeight="false" outlineLevel="0" collapsed="false">
      <c r="A256" s="11"/>
      <c r="B256" s="12"/>
      <c r="C256" s="13"/>
    </row>
    <row r="257" customFormat="false" ht="15" hidden="false" customHeight="false" outlineLevel="0" collapsed="false">
      <c r="A257" s="11"/>
      <c r="B257" s="12"/>
      <c r="C257" s="13"/>
    </row>
    <row r="258" customFormat="false" ht="15" hidden="false" customHeight="false" outlineLevel="0" collapsed="false">
      <c r="A258" s="11"/>
      <c r="B258" s="12"/>
      <c r="C258" s="13"/>
    </row>
    <row r="259" customFormat="false" ht="15" hidden="false" customHeight="false" outlineLevel="0" collapsed="false">
      <c r="A259" s="11"/>
      <c r="B259" s="12"/>
      <c r="C259" s="13"/>
    </row>
    <row r="260" customFormat="false" ht="15" hidden="false" customHeight="false" outlineLevel="0" collapsed="false">
      <c r="A260" s="11"/>
      <c r="B260" s="12"/>
      <c r="C260" s="13"/>
    </row>
    <row r="261" customFormat="false" ht="15" hidden="false" customHeight="false" outlineLevel="0" collapsed="false">
      <c r="A261" s="11"/>
      <c r="B261" s="12"/>
      <c r="C261" s="13"/>
    </row>
    <row r="262" customFormat="false" ht="15" hidden="false" customHeight="false" outlineLevel="0" collapsed="false">
      <c r="A262" s="11"/>
      <c r="B262" s="12"/>
      <c r="C262" s="13"/>
    </row>
    <row r="263" customFormat="false" ht="15" hidden="false" customHeight="false" outlineLevel="0" collapsed="false">
      <c r="A263" s="11"/>
      <c r="B263" s="12"/>
      <c r="C263" s="13"/>
    </row>
    <row r="264" customFormat="false" ht="15" hidden="false" customHeight="false" outlineLevel="0" collapsed="false">
      <c r="A264" s="11"/>
      <c r="B264" s="12"/>
      <c r="C264" s="13"/>
    </row>
    <row r="265" customFormat="false" ht="15" hidden="false" customHeight="false" outlineLevel="0" collapsed="false">
      <c r="A265" s="11"/>
      <c r="B265" s="12"/>
      <c r="C265" s="13"/>
    </row>
    <row r="266" customFormat="false" ht="15" hidden="false" customHeight="false" outlineLevel="0" collapsed="false">
      <c r="A266" s="11"/>
      <c r="B266" s="12"/>
      <c r="C266" s="13"/>
    </row>
    <row r="267" customFormat="false" ht="15" hidden="false" customHeight="false" outlineLevel="0" collapsed="false">
      <c r="A267" s="11"/>
      <c r="B267" s="12"/>
      <c r="C267" s="13"/>
    </row>
    <row r="268" customFormat="false" ht="15" hidden="false" customHeight="false" outlineLevel="0" collapsed="false">
      <c r="A268" s="11"/>
      <c r="B268" s="12"/>
      <c r="C268" s="13"/>
    </row>
    <row r="269" customFormat="false" ht="15" hidden="false" customHeight="false" outlineLevel="0" collapsed="false">
      <c r="A269" s="11"/>
      <c r="B269" s="12"/>
      <c r="C269" s="13"/>
    </row>
    <row r="270" customFormat="false" ht="15" hidden="false" customHeight="false" outlineLevel="0" collapsed="false">
      <c r="A270" s="11"/>
      <c r="B270" s="12"/>
      <c r="C270" s="13"/>
    </row>
    <row r="271" customFormat="false" ht="15" hidden="false" customHeight="false" outlineLevel="0" collapsed="false">
      <c r="A271" s="11"/>
      <c r="B271" s="12"/>
      <c r="C271" s="13"/>
    </row>
    <row r="272" customFormat="false" ht="15" hidden="false" customHeight="false" outlineLevel="0" collapsed="false">
      <c r="A272" s="11"/>
      <c r="B272" s="12"/>
      <c r="C272" s="13"/>
    </row>
    <row r="273" customFormat="false" ht="15" hidden="false" customHeight="false" outlineLevel="0" collapsed="false">
      <c r="A273" s="11"/>
      <c r="B273" s="12"/>
      <c r="C273" s="13"/>
    </row>
    <row r="274" customFormat="false" ht="15" hidden="false" customHeight="false" outlineLevel="0" collapsed="false">
      <c r="A274" s="11"/>
      <c r="B274" s="12"/>
      <c r="C274" s="13"/>
    </row>
    <row r="275" customFormat="false" ht="15" hidden="false" customHeight="false" outlineLevel="0" collapsed="false">
      <c r="A275" s="11"/>
      <c r="B275" s="12"/>
      <c r="C275" s="13"/>
    </row>
    <row r="276" customFormat="false" ht="15" hidden="false" customHeight="false" outlineLevel="0" collapsed="false">
      <c r="A276" s="11"/>
      <c r="B276" s="12"/>
      <c r="C276" s="13"/>
    </row>
    <row r="277" customFormat="false" ht="15" hidden="false" customHeight="false" outlineLevel="0" collapsed="false">
      <c r="A277" s="11"/>
      <c r="B277" s="12"/>
      <c r="C277" s="13"/>
    </row>
    <row r="278" customFormat="false" ht="15" hidden="false" customHeight="false" outlineLevel="0" collapsed="false">
      <c r="A278" s="11"/>
      <c r="B278" s="12"/>
      <c r="C278" s="13"/>
    </row>
    <row r="279" customFormat="false" ht="15" hidden="false" customHeight="false" outlineLevel="0" collapsed="false">
      <c r="A279" s="11"/>
      <c r="B279" s="12"/>
      <c r="C279" s="13"/>
    </row>
    <row r="280" customFormat="false" ht="15" hidden="false" customHeight="false" outlineLevel="0" collapsed="false">
      <c r="A280" s="11"/>
      <c r="B280" s="12"/>
      <c r="C280" s="13"/>
    </row>
    <row r="281" customFormat="false" ht="15" hidden="false" customHeight="false" outlineLevel="0" collapsed="false">
      <c r="A281" s="11"/>
      <c r="B281" s="12"/>
      <c r="C281" s="13"/>
    </row>
    <row r="282" customFormat="false" ht="15" hidden="false" customHeight="false" outlineLevel="0" collapsed="false">
      <c r="A282" s="11"/>
      <c r="B282" s="12"/>
      <c r="C282" s="13"/>
    </row>
    <row r="283" customFormat="false" ht="15" hidden="false" customHeight="false" outlineLevel="0" collapsed="false">
      <c r="A283" s="11"/>
      <c r="B283" s="12"/>
      <c r="C283" s="13"/>
    </row>
    <row r="284" customFormat="false" ht="15" hidden="false" customHeight="false" outlineLevel="0" collapsed="false">
      <c r="A284" s="11"/>
      <c r="B284" s="12"/>
      <c r="C284" s="13"/>
    </row>
    <row r="285" customFormat="false" ht="15" hidden="false" customHeight="false" outlineLevel="0" collapsed="false">
      <c r="A285" s="11"/>
      <c r="B285" s="12"/>
      <c r="C285" s="13"/>
    </row>
    <row r="286" customFormat="false" ht="15" hidden="false" customHeight="false" outlineLevel="0" collapsed="false">
      <c r="A286" s="11"/>
      <c r="B286" s="12"/>
      <c r="C286" s="13"/>
    </row>
    <row r="287" customFormat="false" ht="15" hidden="false" customHeight="false" outlineLevel="0" collapsed="false">
      <c r="A287" s="11"/>
      <c r="B287" s="12"/>
      <c r="C287" s="13"/>
    </row>
    <row r="288" customFormat="false" ht="15" hidden="false" customHeight="false" outlineLevel="0" collapsed="false">
      <c r="A288" s="11"/>
      <c r="B288" s="12"/>
      <c r="C288" s="13"/>
    </row>
    <row r="289" customFormat="false" ht="15" hidden="false" customHeight="false" outlineLevel="0" collapsed="false">
      <c r="A289" s="11"/>
      <c r="B289" s="12"/>
      <c r="C289" s="13"/>
    </row>
    <row r="290" customFormat="false" ht="15" hidden="false" customHeight="false" outlineLevel="0" collapsed="false">
      <c r="A290" s="11"/>
      <c r="B290" s="12"/>
      <c r="C290" s="13"/>
    </row>
    <row r="291" customFormat="false" ht="15" hidden="false" customHeight="false" outlineLevel="0" collapsed="false">
      <c r="A291" s="11"/>
      <c r="B291" s="12"/>
      <c r="C291" s="13"/>
    </row>
    <row r="292" customFormat="false" ht="15" hidden="false" customHeight="false" outlineLevel="0" collapsed="false">
      <c r="A292" s="11"/>
      <c r="B292" s="12"/>
      <c r="C292" s="13"/>
    </row>
    <row r="293" customFormat="false" ht="15" hidden="false" customHeight="false" outlineLevel="0" collapsed="false">
      <c r="A293" s="11"/>
      <c r="B293" s="12"/>
      <c r="C293" s="13"/>
    </row>
    <row r="294" customFormat="false" ht="15" hidden="false" customHeight="false" outlineLevel="0" collapsed="false">
      <c r="A294" s="11"/>
      <c r="B294" s="12"/>
      <c r="C294" s="13"/>
    </row>
    <row r="295" customFormat="false" ht="15" hidden="false" customHeight="false" outlineLevel="0" collapsed="false">
      <c r="A295" s="11"/>
      <c r="B295" s="12"/>
      <c r="C295" s="13"/>
    </row>
    <row r="296" customFormat="false" ht="15" hidden="false" customHeight="false" outlineLevel="0" collapsed="false">
      <c r="A296" s="11"/>
      <c r="B296" s="12"/>
      <c r="C296" s="13"/>
    </row>
    <row r="297" customFormat="false" ht="15" hidden="false" customHeight="false" outlineLevel="0" collapsed="false">
      <c r="A297" s="11"/>
      <c r="B297" s="12"/>
      <c r="C297" s="13"/>
    </row>
    <row r="298" customFormat="false" ht="15" hidden="false" customHeight="false" outlineLevel="0" collapsed="false">
      <c r="A298" s="11"/>
      <c r="B298" s="12"/>
      <c r="C298" s="13"/>
    </row>
    <row r="299" customFormat="false" ht="15" hidden="false" customHeight="false" outlineLevel="0" collapsed="false">
      <c r="A299" s="11"/>
      <c r="B299" s="12"/>
      <c r="C299" s="13"/>
    </row>
    <row r="300" customFormat="false" ht="15" hidden="false" customHeight="false" outlineLevel="0" collapsed="false">
      <c r="A300" s="11"/>
      <c r="B300" s="12"/>
      <c r="C300" s="13"/>
    </row>
    <row r="301" customFormat="false" ht="15" hidden="false" customHeight="false" outlineLevel="0" collapsed="false">
      <c r="A301" s="11"/>
      <c r="B301" s="12"/>
      <c r="C301" s="13"/>
    </row>
    <row r="302" customFormat="false" ht="15" hidden="false" customHeight="false" outlineLevel="0" collapsed="false">
      <c r="A302" s="11"/>
      <c r="B302" s="12"/>
      <c r="C302" s="13"/>
    </row>
    <row r="303" customFormat="false" ht="15" hidden="false" customHeight="false" outlineLevel="0" collapsed="false">
      <c r="A303" s="11"/>
      <c r="B303" s="12"/>
      <c r="C303" s="13"/>
    </row>
    <row r="304" customFormat="false" ht="15" hidden="false" customHeight="false" outlineLevel="0" collapsed="false">
      <c r="A304" s="11"/>
      <c r="B304" s="12"/>
      <c r="C304" s="13"/>
    </row>
    <row r="305" customFormat="false" ht="15" hidden="false" customHeight="false" outlineLevel="0" collapsed="false">
      <c r="A305" s="11"/>
      <c r="B305" s="12"/>
      <c r="C305" s="13"/>
    </row>
    <row r="306" customFormat="false" ht="15" hidden="false" customHeight="false" outlineLevel="0" collapsed="false">
      <c r="A306" s="11"/>
      <c r="B306" s="12"/>
      <c r="C306" s="13"/>
    </row>
    <row r="307" customFormat="false" ht="15" hidden="false" customHeight="false" outlineLevel="0" collapsed="false">
      <c r="A307" s="11"/>
      <c r="B307" s="12"/>
      <c r="C307" s="13"/>
    </row>
    <row r="308" customFormat="false" ht="15" hidden="false" customHeight="false" outlineLevel="0" collapsed="false">
      <c r="A308" s="11"/>
      <c r="B308" s="12"/>
      <c r="C308" s="13"/>
    </row>
    <row r="309" customFormat="false" ht="15" hidden="false" customHeight="false" outlineLevel="0" collapsed="false">
      <c r="A309" s="11"/>
      <c r="B309" s="12"/>
      <c r="C309" s="13"/>
    </row>
    <row r="310" customFormat="false" ht="15" hidden="false" customHeight="false" outlineLevel="0" collapsed="false">
      <c r="A310" s="11"/>
      <c r="B310" s="12"/>
      <c r="C310" s="13"/>
    </row>
    <row r="311" customFormat="false" ht="15" hidden="false" customHeight="false" outlineLevel="0" collapsed="false">
      <c r="A311" s="11"/>
      <c r="B311" s="12"/>
      <c r="C311" s="13"/>
    </row>
    <row r="312" customFormat="false" ht="15" hidden="false" customHeight="false" outlineLevel="0" collapsed="false">
      <c r="A312" s="11"/>
      <c r="B312" s="12"/>
      <c r="C312" s="13"/>
    </row>
    <row r="313" customFormat="false" ht="15" hidden="false" customHeight="false" outlineLevel="0" collapsed="false">
      <c r="A313" s="11"/>
      <c r="B313" s="12"/>
      <c r="C313" s="13"/>
    </row>
    <row r="314" customFormat="false" ht="15" hidden="false" customHeight="false" outlineLevel="0" collapsed="false">
      <c r="A314" s="11"/>
      <c r="B314" s="12"/>
      <c r="C314" s="13"/>
    </row>
    <row r="315" customFormat="false" ht="15" hidden="false" customHeight="false" outlineLevel="0" collapsed="false">
      <c r="A315" s="11"/>
      <c r="B315" s="12"/>
      <c r="C315" s="13"/>
    </row>
    <row r="316" customFormat="false" ht="15" hidden="false" customHeight="false" outlineLevel="0" collapsed="false">
      <c r="A316" s="11"/>
      <c r="B316" s="12"/>
      <c r="C316" s="13"/>
    </row>
    <row r="317" customFormat="false" ht="15" hidden="false" customHeight="false" outlineLevel="0" collapsed="false">
      <c r="A317" s="11"/>
      <c r="B317" s="12"/>
      <c r="C317" s="13"/>
    </row>
    <row r="318" customFormat="false" ht="15" hidden="false" customHeight="false" outlineLevel="0" collapsed="false">
      <c r="A318" s="11"/>
      <c r="B318" s="12"/>
      <c r="C318" s="13"/>
    </row>
    <row r="319" customFormat="false" ht="15" hidden="false" customHeight="false" outlineLevel="0" collapsed="false">
      <c r="A319" s="11"/>
      <c r="B319" s="12"/>
      <c r="C319" s="13"/>
    </row>
    <row r="320" customFormat="false" ht="15" hidden="false" customHeight="false" outlineLevel="0" collapsed="false">
      <c r="A320" s="11"/>
      <c r="B320" s="12"/>
      <c r="C320" s="13"/>
    </row>
    <row r="321" customFormat="false" ht="15" hidden="false" customHeight="false" outlineLevel="0" collapsed="false">
      <c r="A321" s="11"/>
      <c r="B321" s="12"/>
      <c r="C321" s="13"/>
    </row>
    <row r="322" customFormat="false" ht="15" hidden="false" customHeight="false" outlineLevel="0" collapsed="false">
      <c r="A322" s="11"/>
      <c r="B322" s="12"/>
      <c r="C322" s="13"/>
    </row>
    <row r="323" customFormat="false" ht="15" hidden="false" customHeight="false" outlineLevel="0" collapsed="false">
      <c r="A323" s="11"/>
      <c r="B323" s="12"/>
      <c r="C323" s="13"/>
    </row>
    <row r="324" customFormat="false" ht="15" hidden="false" customHeight="false" outlineLevel="0" collapsed="false">
      <c r="A324" s="11"/>
      <c r="B324" s="12"/>
      <c r="C324" s="13"/>
    </row>
    <row r="325" customFormat="false" ht="15" hidden="false" customHeight="false" outlineLevel="0" collapsed="false">
      <c r="A325" s="11"/>
      <c r="B325" s="12"/>
      <c r="C325" s="13"/>
    </row>
    <row r="326" customFormat="false" ht="15" hidden="false" customHeight="false" outlineLevel="0" collapsed="false">
      <c r="A326" s="11"/>
      <c r="B326" s="12"/>
      <c r="C326" s="13"/>
    </row>
    <row r="327" customFormat="false" ht="15" hidden="false" customHeight="false" outlineLevel="0" collapsed="false">
      <c r="A327" s="11"/>
      <c r="B327" s="12"/>
      <c r="C327" s="13"/>
    </row>
    <row r="328" customFormat="false" ht="15" hidden="false" customHeight="false" outlineLevel="0" collapsed="false">
      <c r="A328" s="11"/>
      <c r="B328" s="12"/>
      <c r="C328" s="13"/>
    </row>
    <row r="329" customFormat="false" ht="15" hidden="false" customHeight="false" outlineLevel="0" collapsed="false">
      <c r="A329" s="11"/>
      <c r="B329" s="12"/>
      <c r="C329" s="13"/>
    </row>
    <row r="330" customFormat="false" ht="15" hidden="false" customHeight="false" outlineLevel="0" collapsed="false">
      <c r="A330" s="11"/>
      <c r="B330" s="12"/>
      <c r="C330" s="13"/>
    </row>
    <row r="331" customFormat="false" ht="15" hidden="false" customHeight="false" outlineLevel="0" collapsed="false">
      <c r="A331" s="11"/>
      <c r="B331" s="12"/>
      <c r="C331" s="13"/>
    </row>
    <row r="332" customFormat="false" ht="15" hidden="false" customHeight="false" outlineLevel="0" collapsed="false">
      <c r="A332" s="11"/>
      <c r="B332" s="12"/>
      <c r="C332" s="13"/>
    </row>
    <row r="333" customFormat="false" ht="15" hidden="false" customHeight="false" outlineLevel="0" collapsed="false">
      <c r="A333" s="11"/>
      <c r="B333" s="12"/>
      <c r="C333" s="13"/>
    </row>
    <row r="334" customFormat="false" ht="15" hidden="false" customHeight="false" outlineLevel="0" collapsed="false">
      <c r="A334" s="11"/>
      <c r="B334" s="12"/>
      <c r="C334" s="13"/>
    </row>
    <row r="335" customFormat="false" ht="15" hidden="false" customHeight="false" outlineLevel="0" collapsed="false">
      <c r="A335" s="11"/>
      <c r="B335" s="12"/>
      <c r="C335" s="13"/>
    </row>
    <row r="336" customFormat="false" ht="15" hidden="false" customHeight="false" outlineLevel="0" collapsed="false">
      <c r="A336" s="11"/>
      <c r="B336" s="12"/>
      <c r="C336" s="13"/>
    </row>
    <row r="337" customFormat="false" ht="15" hidden="false" customHeight="false" outlineLevel="0" collapsed="false">
      <c r="A337" s="11"/>
      <c r="B337" s="12"/>
      <c r="C337" s="13"/>
    </row>
    <row r="338" customFormat="false" ht="15" hidden="false" customHeight="false" outlineLevel="0" collapsed="false">
      <c r="A338" s="11"/>
      <c r="B338" s="12"/>
      <c r="C338" s="13"/>
    </row>
    <row r="339" customFormat="false" ht="15" hidden="false" customHeight="false" outlineLevel="0" collapsed="false">
      <c r="A339" s="11"/>
      <c r="B339" s="12"/>
      <c r="C339" s="13"/>
    </row>
    <row r="340" customFormat="false" ht="15" hidden="false" customHeight="false" outlineLevel="0" collapsed="false">
      <c r="A340" s="11"/>
      <c r="B340" s="12"/>
      <c r="C340" s="13"/>
    </row>
    <row r="341" customFormat="false" ht="15" hidden="false" customHeight="false" outlineLevel="0" collapsed="false">
      <c r="A341" s="11"/>
      <c r="B341" s="12"/>
      <c r="C341" s="13"/>
    </row>
    <row r="342" customFormat="false" ht="15" hidden="false" customHeight="false" outlineLevel="0" collapsed="false">
      <c r="A342" s="11"/>
      <c r="B342" s="12"/>
      <c r="C342" s="13"/>
    </row>
    <row r="343" customFormat="false" ht="15" hidden="false" customHeight="false" outlineLevel="0" collapsed="false">
      <c r="A343" s="11"/>
      <c r="B343" s="12"/>
      <c r="C343" s="13"/>
    </row>
    <row r="344" customFormat="false" ht="15" hidden="false" customHeight="false" outlineLevel="0" collapsed="false">
      <c r="A344" s="11"/>
      <c r="B344" s="12"/>
      <c r="C344" s="13"/>
    </row>
    <row r="345" customFormat="false" ht="15" hidden="false" customHeight="false" outlineLevel="0" collapsed="false">
      <c r="A345" s="11"/>
      <c r="B345" s="12"/>
      <c r="C345" s="13"/>
    </row>
    <row r="346" customFormat="false" ht="15" hidden="false" customHeight="false" outlineLevel="0" collapsed="false">
      <c r="A346" s="11"/>
      <c r="B346" s="12"/>
      <c r="C346" s="13"/>
    </row>
    <row r="347" customFormat="false" ht="15" hidden="false" customHeight="false" outlineLevel="0" collapsed="false">
      <c r="A347" s="11"/>
      <c r="B347" s="12"/>
      <c r="C347" s="13"/>
    </row>
    <row r="348" customFormat="false" ht="15" hidden="false" customHeight="false" outlineLevel="0" collapsed="false">
      <c r="A348" s="11"/>
      <c r="B348" s="12"/>
      <c r="C348" s="13"/>
    </row>
    <row r="349" customFormat="false" ht="15" hidden="false" customHeight="false" outlineLevel="0" collapsed="false">
      <c r="A349" s="11"/>
      <c r="B349" s="12"/>
      <c r="C349" s="13"/>
    </row>
    <row r="350" customFormat="false" ht="15" hidden="false" customHeight="false" outlineLevel="0" collapsed="false">
      <c r="A350" s="11"/>
      <c r="B350" s="12"/>
      <c r="C350" s="13"/>
    </row>
    <row r="351" customFormat="false" ht="15" hidden="false" customHeight="false" outlineLevel="0" collapsed="false">
      <c r="A351" s="11"/>
      <c r="B351" s="12"/>
      <c r="C351" s="13"/>
    </row>
    <row r="352" customFormat="false" ht="15" hidden="false" customHeight="false" outlineLevel="0" collapsed="false">
      <c r="A352" s="11"/>
      <c r="B352" s="12"/>
      <c r="C352" s="13"/>
    </row>
    <row r="353" customFormat="false" ht="15" hidden="false" customHeight="false" outlineLevel="0" collapsed="false">
      <c r="A353" s="11"/>
      <c r="B353" s="12"/>
      <c r="C353" s="13"/>
    </row>
    <row r="354" customFormat="false" ht="15" hidden="false" customHeight="false" outlineLevel="0" collapsed="false">
      <c r="A354" s="11"/>
      <c r="B354" s="12"/>
      <c r="C354" s="13"/>
    </row>
    <row r="355" customFormat="false" ht="15" hidden="false" customHeight="false" outlineLevel="0" collapsed="false">
      <c r="A355" s="11"/>
      <c r="B355" s="12"/>
      <c r="C355" s="13"/>
    </row>
    <row r="356" customFormat="false" ht="15" hidden="false" customHeight="false" outlineLevel="0" collapsed="false">
      <c r="A356" s="11"/>
      <c r="B356" s="12"/>
      <c r="C356" s="13"/>
    </row>
    <row r="357" customFormat="false" ht="15" hidden="false" customHeight="false" outlineLevel="0" collapsed="false">
      <c r="A357" s="11"/>
      <c r="B357" s="12"/>
      <c r="C357" s="13"/>
    </row>
    <row r="358" customFormat="false" ht="15" hidden="false" customHeight="false" outlineLevel="0" collapsed="false">
      <c r="A358" s="11"/>
      <c r="B358" s="12"/>
      <c r="C358" s="13"/>
    </row>
    <row r="359" customFormat="false" ht="15" hidden="false" customHeight="false" outlineLevel="0" collapsed="false">
      <c r="A359" s="11"/>
      <c r="B359" s="12"/>
      <c r="C359" s="13"/>
    </row>
    <row r="360" customFormat="false" ht="15" hidden="false" customHeight="false" outlineLevel="0" collapsed="false">
      <c r="A360" s="11"/>
      <c r="B360" s="12"/>
      <c r="C360" s="13"/>
    </row>
    <row r="361" customFormat="false" ht="15" hidden="false" customHeight="false" outlineLevel="0" collapsed="false">
      <c r="A361" s="11"/>
      <c r="B361" s="12"/>
      <c r="C361" s="13"/>
    </row>
    <row r="362" customFormat="false" ht="15" hidden="false" customHeight="false" outlineLevel="0" collapsed="false">
      <c r="A362" s="11"/>
      <c r="B362" s="12"/>
      <c r="C362" s="13"/>
    </row>
    <row r="363" customFormat="false" ht="15" hidden="false" customHeight="false" outlineLevel="0" collapsed="false">
      <c r="A363" s="11"/>
      <c r="B363" s="12"/>
      <c r="C363" s="13"/>
    </row>
    <row r="364" customFormat="false" ht="15" hidden="false" customHeight="false" outlineLevel="0" collapsed="false">
      <c r="A364" s="11"/>
      <c r="B364" s="12"/>
      <c r="C364" s="13"/>
    </row>
    <row r="365" customFormat="false" ht="15" hidden="false" customHeight="false" outlineLevel="0" collapsed="false">
      <c r="A365" s="11"/>
      <c r="B365" s="12"/>
      <c r="C365" s="13"/>
    </row>
    <row r="366" customFormat="false" ht="15" hidden="false" customHeight="false" outlineLevel="0" collapsed="false">
      <c r="A366" s="11"/>
      <c r="B366" s="12"/>
      <c r="C366" s="13"/>
    </row>
    <row r="367" customFormat="false" ht="15" hidden="false" customHeight="false" outlineLevel="0" collapsed="false">
      <c r="A367" s="11"/>
      <c r="B367" s="12"/>
      <c r="C367" s="13"/>
    </row>
    <row r="368" customFormat="false" ht="15" hidden="false" customHeight="false" outlineLevel="0" collapsed="false">
      <c r="A368" s="11"/>
      <c r="B368" s="12"/>
      <c r="C368" s="13"/>
    </row>
    <row r="369" customFormat="false" ht="15" hidden="false" customHeight="false" outlineLevel="0" collapsed="false">
      <c r="A369" s="11"/>
      <c r="B369" s="12"/>
      <c r="C369" s="13"/>
    </row>
    <row r="370" customFormat="false" ht="15" hidden="false" customHeight="false" outlineLevel="0" collapsed="false">
      <c r="A370" s="11"/>
      <c r="B370" s="12"/>
      <c r="C370" s="13"/>
    </row>
    <row r="371" customFormat="false" ht="15" hidden="false" customHeight="false" outlineLevel="0" collapsed="false">
      <c r="A371" s="11"/>
      <c r="B371" s="12"/>
      <c r="C371" s="13"/>
    </row>
    <row r="372" customFormat="false" ht="15" hidden="false" customHeight="false" outlineLevel="0" collapsed="false">
      <c r="A372" s="11"/>
      <c r="B372" s="12"/>
      <c r="C372" s="13"/>
    </row>
    <row r="373" customFormat="false" ht="15" hidden="false" customHeight="false" outlineLevel="0" collapsed="false">
      <c r="A373" s="11"/>
      <c r="B373" s="12"/>
      <c r="C373" s="13"/>
    </row>
    <row r="374" customFormat="false" ht="15" hidden="false" customHeight="false" outlineLevel="0" collapsed="false">
      <c r="A374" s="11"/>
      <c r="B374" s="12"/>
      <c r="C374" s="13"/>
    </row>
    <row r="375" customFormat="false" ht="15" hidden="false" customHeight="false" outlineLevel="0" collapsed="false">
      <c r="A375" s="11"/>
      <c r="B375" s="12"/>
      <c r="C375" s="13"/>
    </row>
    <row r="376" customFormat="false" ht="15" hidden="false" customHeight="false" outlineLevel="0" collapsed="false">
      <c r="A376" s="11"/>
      <c r="B376" s="12"/>
      <c r="C376" s="13"/>
    </row>
    <row r="377" customFormat="false" ht="15" hidden="false" customHeight="false" outlineLevel="0" collapsed="false">
      <c r="A377" s="11"/>
      <c r="B377" s="12"/>
      <c r="C377" s="13"/>
    </row>
    <row r="378" customFormat="false" ht="15" hidden="false" customHeight="false" outlineLevel="0" collapsed="false">
      <c r="A378" s="11"/>
      <c r="B378" s="12"/>
      <c r="C378" s="13"/>
    </row>
    <row r="379" customFormat="false" ht="15" hidden="false" customHeight="false" outlineLevel="0" collapsed="false">
      <c r="A379" s="11"/>
      <c r="B379" s="12"/>
      <c r="C379" s="13"/>
    </row>
    <row r="380" customFormat="false" ht="15" hidden="false" customHeight="false" outlineLevel="0" collapsed="false">
      <c r="A380" s="11"/>
      <c r="B380" s="12"/>
      <c r="C380" s="13"/>
    </row>
    <row r="381" customFormat="false" ht="15" hidden="false" customHeight="false" outlineLevel="0" collapsed="false">
      <c r="A381" s="11"/>
      <c r="B381" s="12"/>
      <c r="C381" s="13"/>
    </row>
    <row r="382" customFormat="false" ht="15" hidden="false" customHeight="false" outlineLevel="0" collapsed="false">
      <c r="A382" s="11"/>
      <c r="B382" s="12"/>
      <c r="C382" s="13"/>
    </row>
    <row r="383" customFormat="false" ht="15" hidden="false" customHeight="false" outlineLevel="0" collapsed="false">
      <c r="A383" s="11"/>
      <c r="B383" s="12"/>
      <c r="C383" s="13"/>
    </row>
    <row r="384" customFormat="false" ht="15" hidden="false" customHeight="false" outlineLevel="0" collapsed="false">
      <c r="A384" s="11"/>
      <c r="B384" s="12"/>
      <c r="C384" s="13"/>
    </row>
    <row r="385" customFormat="false" ht="15" hidden="false" customHeight="false" outlineLevel="0" collapsed="false">
      <c r="A385" s="11"/>
      <c r="B385" s="12"/>
      <c r="C385" s="13"/>
    </row>
    <row r="386" customFormat="false" ht="15" hidden="false" customHeight="false" outlineLevel="0" collapsed="false">
      <c r="A386" s="11"/>
      <c r="B386" s="12"/>
      <c r="C386" s="13"/>
    </row>
    <row r="387" customFormat="false" ht="15" hidden="false" customHeight="false" outlineLevel="0" collapsed="false">
      <c r="A387" s="11"/>
      <c r="B387" s="12"/>
      <c r="C387" s="13"/>
    </row>
    <row r="388" customFormat="false" ht="15" hidden="false" customHeight="false" outlineLevel="0" collapsed="false">
      <c r="A388" s="11"/>
      <c r="B388" s="12"/>
      <c r="C388" s="13"/>
    </row>
    <row r="389" customFormat="false" ht="15" hidden="false" customHeight="false" outlineLevel="0" collapsed="false">
      <c r="A389" s="11"/>
      <c r="B389" s="12"/>
      <c r="C389" s="13"/>
    </row>
    <row r="390" customFormat="false" ht="15" hidden="false" customHeight="false" outlineLevel="0" collapsed="false">
      <c r="A390" s="11"/>
      <c r="B390" s="12"/>
      <c r="C390" s="13"/>
    </row>
    <row r="391" customFormat="false" ht="15" hidden="false" customHeight="false" outlineLevel="0" collapsed="false">
      <c r="A391" s="11"/>
      <c r="B391" s="12"/>
      <c r="C391" s="13"/>
    </row>
    <row r="392" customFormat="false" ht="15" hidden="false" customHeight="false" outlineLevel="0" collapsed="false">
      <c r="A392" s="11"/>
      <c r="B392" s="12"/>
      <c r="C392" s="13"/>
    </row>
    <row r="393" customFormat="false" ht="15" hidden="false" customHeight="false" outlineLevel="0" collapsed="false">
      <c r="A393" s="11"/>
      <c r="B393" s="12"/>
      <c r="C393" s="13"/>
    </row>
    <row r="394" customFormat="false" ht="15" hidden="false" customHeight="false" outlineLevel="0" collapsed="false">
      <c r="A394" s="11"/>
      <c r="B394" s="12"/>
      <c r="C394" s="13"/>
    </row>
    <row r="395" customFormat="false" ht="15" hidden="false" customHeight="false" outlineLevel="0" collapsed="false">
      <c r="A395" s="11"/>
      <c r="B395" s="12"/>
      <c r="C395" s="13"/>
    </row>
    <row r="396" customFormat="false" ht="15" hidden="false" customHeight="false" outlineLevel="0" collapsed="false">
      <c r="A396" s="11"/>
      <c r="B396" s="12"/>
      <c r="C396" s="13"/>
    </row>
    <row r="397" customFormat="false" ht="15" hidden="false" customHeight="false" outlineLevel="0" collapsed="false">
      <c r="A397" s="11"/>
      <c r="B397" s="12"/>
      <c r="C397" s="13"/>
    </row>
    <row r="398" customFormat="false" ht="15" hidden="false" customHeight="false" outlineLevel="0" collapsed="false">
      <c r="A398" s="11"/>
      <c r="B398" s="12"/>
      <c r="C398" s="13"/>
    </row>
    <row r="399" customFormat="false" ht="15" hidden="false" customHeight="false" outlineLevel="0" collapsed="false">
      <c r="A399" s="11"/>
      <c r="B399" s="12"/>
      <c r="C399" s="13"/>
    </row>
    <row r="400" customFormat="false" ht="15" hidden="false" customHeight="false" outlineLevel="0" collapsed="false">
      <c r="A400" s="11"/>
      <c r="B400" s="12"/>
      <c r="C400" s="13"/>
    </row>
    <row r="401" customFormat="false" ht="15" hidden="false" customHeight="false" outlineLevel="0" collapsed="false">
      <c r="A401" s="11"/>
      <c r="B401" s="12"/>
      <c r="C401" s="13"/>
    </row>
    <row r="402" customFormat="false" ht="15" hidden="false" customHeight="false" outlineLevel="0" collapsed="false">
      <c r="A402" s="11"/>
      <c r="B402" s="12"/>
      <c r="C402" s="13"/>
    </row>
    <row r="403" customFormat="false" ht="15" hidden="false" customHeight="false" outlineLevel="0" collapsed="false">
      <c r="A403" s="11"/>
      <c r="B403" s="12"/>
      <c r="C403" s="13"/>
    </row>
    <row r="404" customFormat="false" ht="15" hidden="false" customHeight="false" outlineLevel="0" collapsed="false">
      <c r="A404" s="11"/>
      <c r="B404" s="12"/>
      <c r="C404" s="13"/>
    </row>
    <row r="405" customFormat="false" ht="15" hidden="false" customHeight="false" outlineLevel="0" collapsed="false">
      <c r="A405" s="11"/>
      <c r="B405" s="12"/>
      <c r="C405" s="13"/>
    </row>
    <row r="406" customFormat="false" ht="15" hidden="false" customHeight="false" outlineLevel="0" collapsed="false">
      <c r="A406" s="11"/>
      <c r="B406" s="12"/>
      <c r="C406" s="13"/>
    </row>
    <row r="407" customFormat="false" ht="15" hidden="false" customHeight="false" outlineLevel="0" collapsed="false">
      <c r="A407" s="11"/>
      <c r="B407" s="12"/>
      <c r="C407" s="13"/>
    </row>
    <row r="408" customFormat="false" ht="15" hidden="false" customHeight="false" outlineLevel="0" collapsed="false">
      <c r="A408" s="11"/>
      <c r="B408" s="12"/>
      <c r="C408" s="13"/>
    </row>
    <row r="409" customFormat="false" ht="15" hidden="false" customHeight="false" outlineLevel="0" collapsed="false">
      <c r="A409" s="11"/>
      <c r="B409" s="12"/>
      <c r="C409" s="13"/>
    </row>
    <row r="410" customFormat="false" ht="15" hidden="false" customHeight="false" outlineLevel="0" collapsed="false">
      <c r="A410" s="11"/>
      <c r="B410" s="12"/>
      <c r="C410" s="13"/>
    </row>
    <row r="411" customFormat="false" ht="15" hidden="false" customHeight="false" outlineLevel="0" collapsed="false">
      <c r="A411" s="11"/>
      <c r="B411" s="12"/>
      <c r="C411" s="13"/>
    </row>
    <row r="412" customFormat="false" ht="15" hidden="false" customHeight="false" outlineLevel="0" collapsed="false">
      <c r="A412" s="11"/>
      <c r="B412" s="12"/>
      <c r="C412" s="13"/>
    </row>
    <row r="413" customFormat="false" ht="15" hidden="false" customHeight="false" outlineLevel="0" collapsed="false">
      <c r="A413" s="11"/>
      <c r="B413" s="12"/>
      <c r="C413" s="13"/>
    </row>
    <row r="414" customFormat="false" ht="15" hidden="false" customHeight="false" outlineLevel="0" collapsed="false">
      <c r="A414" s="11"/>
      <c r="B414" s="12"/>
      <c r="C414" s="13"/>
    </row>
    <row r="415" customFormat="false" ht="15" hidden="false" customHeight="false" outlineLevel="0" collapsed="false">
      <c r="A415" s="11"/>
      <c r="B415" s="12"/>
      <c r="C415" s="13"/>
    </row>
    <row r="416" customFormat="false" ht="15" hidden="false" customHeight="false" outlineLevel="0" collapsed="false">
      <c r="A416" s="11"/>
      <c r="B416" s="12"/>
      <c r="C416" s="13"/>
    </row>
    <row r="417" customFormat="false" ht="15" hidden="false" customHeight="false" outlineLevel="0" collapsed="false">
      <c r="A417" s="11"/>
      <c r="B417" s="12"/>
      <c r="C417" s="13"/>
    </row>
    <row r="418" customFormat="false" ht="15" hidden="false" customHeight="false" outlineLevel="0" collapsed="false">
      <c r="A418" s="11"/>
      <c r="B418" s="12"/>
      <c r="C418" s="13"/>
    </row>
    <row r="419" customFormat="false" ht="15" hidden="false" customHeight="false" outlineLevel="0" collapsed="false">
      <c r="A419" s="11"/>
      <c r="B419" s="12"/>
      <c r="C419" s="13"/>
    </row>
    <row r="420" customFormat="false" ht="15" hidden="false" customHeight="false" outlineLevel="0" collapsed="false">
      <c r="A420" s="11"/>
      <c r="B420" s="12"/>
      <c r="C420" s="13"/>
    </row>
    <row r="421" customFormat="false" ht="15" hidden="false" customHeight="false" outlineLevel="0" collapsed="false">
      <c r="A421" s="11"/>
      <c r="B421" s="12"/>
      <c r="C421" s="13"/>
    </row>
    <row r="422" customFormat="false" ht="15" hidden="false" customHeight="false" outlineLevel="0" collapsed="false">
      <c r="A422" s="11"/>
      <c r="B422" s="12"/>
      <c r="C422" s="13"/>
    </row>
    <row r="423" customFormat="false" ht="15" hidden="false" customHeight="false" outlineLevel="0" collapsed="false">
      <c r="A423" s="11"/>
      <c r="B423" s="12"/>
      <c r="C423" s="13"/>
    </row>
    <row r="424" customFormat="false" ht="15" hidden="false" customHeight="false" outlineLevel="0" collapsed="false">
      <c r="A424" s="11"/>
      <c r="B424" s="12"/>
      <c r="C424" s="13"/>
    </row>
    <row r="425" customFormat="false" ht="15" hidden="false" customHeight="false" outlineLevel="0" collapsed="false">
      <c r="A425" s="11"/>
      <c r="B425" s="12"/>
      <c r="C425" s="13"/>
    </row>
    <row r="426" customFormat="false" ht="15" hidden="false" customHeight="false" outlineLevel="0" collapsed="false">
      <c r="A426" s="11"/>
      <c r="B426" s="12"/>
      <c r="C426" s="13"/>
    </row>
    <row r="427" customFormat="false" ht="15" hidden="false" customHeight="false" outlineLevel="0" collapsed="false">
      <c r="A427" s="11"/>
      <c r="B427" s="12"/>
      <c r="C427" s="13"/>
    </row>
    <row r="428" customFormat="false" ht="15" hidden="false" customHeight="false" outlineLevel="0" collapsed="false">
      <c r="A428" s="11"/>
      <c r="B428" s="12"/>
      <c r="C428" s="13"/>
    </row>
    <row r="429" customFormat="false" ht="15" hidden="false" customHeight="false" outlineLevel="0" collapsed="false">
      <c r="A429" s="11"/>
      <c r="B429" s="12"/>
      <c r="C429" s="13"/>
    </row>
    <row r="430" customFormat="false" ht="15" hidden="false" customHeight="false" outlineLevel="0" collapsed="false">
      <c r="A430" s="11"/>
      <c r="B430" s="12"/>
      <c r="C430" s="13"/>
    </row>
    <row r="431" customFormat="false" ht="15" hidden="false" customHeight="false" outlineLevel="0" collapsed="false">
      <c r="A431" s="11"/>
      <c r="B431" s="12"/>
      <c r="C431" s="13"/>
    </row>
    <row r="432" customFormat="false" ht="15" hidden="false" customHeight="false" outlineLevel="0" collapsed="false">
      <c r="A432" s="11"/>
      <c r="B432" s="12"/>
      <c r="C432" s="13"/>
    </row>
    <row r="433" customFormat="false" ht="15" hidden="false" customHeight="false" outlineLevel="0" collapsed="false">
      <c r="A433" s="11"/>
      <c r="B433" s="12"/>
      <c r="C433" s="13"/>
    </row>
    <row r="434" customFormat="false" ht="15" hidden="false" customHeight="false" outlineLevel="0" collapsed="false">
      <c r="A434" s="11"/>
      <c r="B434" s="12"/>
      <c r="C434" s="13"/>
    </row>
    <row r="435" customFormat="false" ht="15" hidden="false" customHeight="false" outlineLevel="0" collapsed="false">
      <c r="A435" s="11"/>
      <c r="B435" s="12"/>
      <c r="C435" s="13"/>
    </row>
    <row r="436" customFormat="false" ht="15" hidden="false" customHeight="false" outlineLevel="0" collapsed="false">
      <c r="A436" s="11"/>
      <c r="B436" s="12"/>
      <c r="C436" s="13"/>
    </row>
    <row r="437" customFormat="false" ht="15" hidden="false" customHeight="false" outlineLevel="0" collapsed="false">
      <c r="A437" s="11"/>
      <c r="B437" s="12"/>
      <c r="C437" s="13"/>
    </row>
    <row r="438" customFormat="false" ht="15" hidden="false" customHeight="false" outlineLevel="0" collapsed="false">
      <c r="A438" s="11"/>
      <c r="B438" s="12"/>
      <c r="C438" s="13"/>
    </row>
    <row r="439" customFormat="false" ht="15" hidden="false" customHeight="false" outlineLevel="0" collapsed="false">
      <c r="A439" s="11"/>
      <c r="B439" s="12"/>
      <c r="C439" s="13"/>
    </row>
    <row r="440" customFormat="false" ht="15" hidden="false" customHeight="false" outlineLevel="0" collapsed="false">
      <c r="A440" s="11"/>
      <c r="B440" s="12"/>
      <c r="C440" s="13"/>
    </row>
    <row r="441" customFormat="false" ht="15" hidden="false" customHeight="false" outlineLevel="0" collapsed="false">
      <c r="A441" s="11"/>
      <c r="B441" s="12"/>
      <c r="C441" s="13"/>
    </row>
    <row r="442" customFormat="false" ht="15" hidden="false" customHeight="false" outlineLevel="0" collapsed="false">
      <c r="A442" s="11"/>
      <c r="B442" s="12"/>
      <c r="C442" s="13"/>
    </row>
    <row r="443" customFormat="false" ht="15" hidden="false" customHeight="false" outlineLevel="0" collapsed="false">
      <c r="A443" s="11"/>
      <c r="B443" s="12"/>
      <c r="C443" s="13"/>
    </row>
    <row r="444" customFormat="false" ht="15" hidden="false" customHeight="false" outlineLevel="0" collapsed="false">
      <c r="A444" s="11"/>
      <c r="B444" s="12"/>
      <c r="C444" s="13"/>
    </row>
    <row r="445" customFormat="false" ht="15" hidden="false" customHeight="false" outlineLevel="0" collapsed="false">
      <c r="A445" s="11"/>
      <c r="B445" s="12"/>
      <c r="C445" s="13"/>
    </row>
    <row r="446" customFormat="false" ht="15" hidden="false" customHeight="false" outlineLevel="0" collapsed="false">
      <c r="A446" s="11"/>
      <c r="B446" s="12"/>
      <c r="C446" s="13"/>
    </row>
    <row r="447" customFormat="false" ht="15" hidden="false" customHeight="false" outlineLevel="0" collapsed="false">
      <c r="A447" s="11"/>
      <c r="B447" s="12"/>
      <c r="C447" s="13"/>
    </row>
    <row r="448" customFormat="false" ht="15" hidden="false" customHeight="false" outlineLevel="0" collapsed="false">
      <c r="A448" s="11"/>
      <c r="B448" s="12"/>
      <c r="C448" s="13"/>
    </row>
    <row r="449" customFormat="false" ht="15" hidden="false" customHeight="false" outlineLevel="0" collapsed="false">
      <c r="A449" s="11"/>
      <c r="B449" s="12"/>
      <c r="C449" s="13"/>
    </row>
    <row r="450" customFormat="false" ht="15" hidden="false" customHeight="false" outlineLevel="0" collapsed="false">
      <c r="A450" s="11"/>
      <c r="B450" s="12"/>
      <c r="C450" s="13"/>
    </row>
    <row r="451" customFormat="false" ht="15" hidden="false" customHeight="false" outlineLevel="0" collapsed="false">
      <c r="A451" s="11"/>
      <c r="B451" s="12"/>
      <c r="C451" s="13"/>
    </row>
    <row r="452" customFormat="false" ht="15" hidden="false" customHeight="false" outlineLevel="0" collapsed="false">
      <c r="A452" s="11"/>
      <c r="B452" s="12"/>
      <c r="C452" s="13"/>
    </row>
    <row r="453" customFormat="false" ht="15" hidden="false" customHeight="false" outlineLevel="0" collapsed="false">
      <c r="A453" s="11"/>
      <c r="B453" s="12"/>
      <c r="C453" s="13"/>
    </row>
    <row r="454" customFormat="false" ht="15" hidden="false" customHeight="false" outlineLevel="0" collapsed="false">
      <c r="A454" s="11"/>
      <c r="B454" s="12"/>
      <c r="C454" s="13"/>
    </row>
    <row r="455" customFormat="false" ht="15" hidden="false" customHeight="false" outlineLevel="0" collapsed="false">
      <c r="A455" s="11"/>
      <c r="B455" s="12"/>
      <c r="C455" s="13"/>
    </row>
    <row r="456" customFormat="false" ht="15" hidden="false" customHeight="false" outlineLevel="0" collapsed="false">
      <c r="A456" s="11"/>
      <c r="B456" s="12"/>
      <c r="C456" s="13"/>
    </row>
    <row r="457" customFormat="false" ht="15" hidden="false" customHeight="false" outlineLevel="0" collapsed="false">
      <c r="A457" s="11"/>
      <c r="B457" s="12"/>
      <c r="C457" s="13"/>
    </row>
    <row r="458" customFormat="false" ht="15" hidden="false" customHeight="false" outlineLevel="0" collapsed="false">
      <c r="A458" s="11"/>
      <c r="B458" s="12"/>
      <c r="C458" s="13"/>
    </row>
    <row r="459" customFormat="false" ht="15" hidden="false" customHeight="false" outlineLevel="0" collapsed="false">
      <c r="A459" s="11"/>
      <c r="B459" s="12"/>
      <c r="C459" s="13"/>
    </row>
    <row r="460" customFormat="false" ht="15" hidden="false" customHeight="false" outlineLevel="0" collapsed="false">
      <c r="A460" s="11"/>
      <c r="B460" s="12"/>
      <c r="C460" s="13"/>
    </row>
    <row r="461" customFormat="false" ht="15" hidden="false" customHeight="false" outlineLevel="0" collapsed="false">
      <c r="A461" s="11"/>
      <c r="B461" s="12"/>
      <c r="C461" s="13"/>
    </row>
    <row r="462" customFormat="false" ht="15" hidden="false" customHeight="false" outlineLevel="0" collapsed="false">
      <c r="A462" s="11"/>
      <c r="B462" s="12"/>
      <c r="C462" s="13"/>
    </row>
    <row r="463" customFormat="false" ht="15" hidden="false" customHeight="false" outlineLevel="0" collapsed="false">
      <c r="A463" s="11"/>
      <c r="B463" s="12"/>
      <c r="C463" s="13"/>
    </row>
    <row r="464" customFormat="false" ht="15" hidden="false" customHeight="false" outlineLevel="0" collapsed="false">
      <c r="A464" s="11"/>
      <c r="B464" s="12"/>
      <c r="C464" s="13"/>
    </row>
    <row r="465" customFormat="false" ht="15" hidden="false" customHeight="false" outlineLevel="0" collapsed="false">
      <c r="A465" s="11"/>
      <c r="B465" s="12"/>
      <c r="C465" s="13"/>
    </row>
    <row r="466" customFormat="false" ht="15" hidden="false" customHeight="false" outlineLevel="0" collapsed="false">
      <c r="A466" s="11"/>
      <c r="B466" s="12"/>
      <c r="C466" s="13"/>
    </row>
    <row r="467" customFormat="false" ht="15" hidden="false" customHeight="false" outlineLevel="0" collapsed="false">
      <c r="A467" s="11"/>
      <c r="B467" s="12"/>
      <c r="C467" s="13"/>
    </row>
    <row r="468" customFormat="false" ht="15" hidden="false" customHeight="false" outlineLevel="0" collapsed="false">
      <c r="A468" s="11"/>
      <c r="B468" s="12"/>
      <c r="C468" s="13"/>
    </row>
    <row r="469" customFormat="false" ht="15" hidden="false" customHeight="false" outlineLevel="0" collapsed="false">
      <c r="A469" s="11"/>
      <c r="B469" s="12"/>
      <c r="C469" s="13"/>
    </row>
    <row r="470" customFormat="false" ht="15" hidden="false" customHeight="false" outlineLevel="0" collapsed="false">
      <c r="A470" s="11"/>
      <c r="B470" s="12"/>
      <c r="C470" s="13"/>
    </row>
    <row r="471" customFormat="false" ht="15" hidden="false" customHeight="false" outlineLevel="0" collapsed="false">
      <c r="A471" s="11"/>
      <c r="B471" s="12"/>
      <c r="C471" s="13"/>
    </row>
    <row r="472" customFormat="false" ht="15" hidden="false" customHeight="false" outlineLevel="0" collapsed="false">
      <c r="A472" s="11"/>
      <c r="B472" s="12"/>
      <c r="C472" s="13"/>
    </row>
    <row r="473" customFormat="false" ht="15" hidden="false" customHeight="false" outlineLevel="0" collapsed="false">
      <c r="A473" s="11"/>
      <c r="B473" s="12"/>
      <c r="C473" s="13"/>
    </row>
    <row r="474" customFormat="false" ht="15" hidden="false" customHeight="false" outlineLevel="0" collapsed="false">
      <c r="A474" s="11"/>
      <c r="B474" s="12"/>
      <c r="C474" s="13"/>
    </row>
    <row r="475" customFormat="false" ht="15" hidden="false" customHeight="false" outlineLevel="0" collapsed="false">
      <c r="A475" s="11"/>
      <c r="B475" s="12"/>
      <c r="C475" s="13"/>
    </row>
    <row r="476" customFormat="false" ht="15" hidden="false" customHeight="false" outlineLevel="0" collapsed="false">
      <c r="A476" s="11"/>
      <c r="B476" s="12"/>
      <c r="C476" s="13"/>
    </row>
    <row r="477" customFormat="false" ht="15" hidden="false" customHeight="false" outlineLevel="0" collapsed="false">
      <c r="A477" s="11"/>
      <c r="B477" s="12"/>
      <c r="C477" s="13"/>
    </row>
    <row r="478" customFormat="false" ht="15" hidden="false" customHeight="false" outlineLevel="0" collapsed="false">
      <c r="A478" s="11"/>
      <c r="B478" s="12"/>
      <c r="C478" s="13"/>
    </row>
    <row r="479" customFormat="false" ht="15" hidden="false" customHeight="false" outlineLevel="0" collapsed="false">
      <c r="A479" s="11"/>
      <c r="B479" s="12"/>
      <c r="C479" s="13"/>
    </row>
    <row r="480" customFormat="false" ht="15" hidden="false" customHeight="false" outlineLevel="0" collapsed="false">
      <c r="A480" s="11"/>
      <c r="B480" s="12"/>
      <c r="C480" s="13"/>
    </row>
    <row r="481" customFormat="false" ht="15" hidden="false" customHeight="false" outlineLevel="0" collapsed="false">
      <c r="A481" s="11"/>
      <c r="B481" s="12"/>
      <c r="C481" s="13"/>
    </row>
    <row r="482" customFormat="false" ht="15" hidden="false" customHeight="false" outlineLevel="0" collapsed="false">
      <c r="A482" s="11"/>
      <c r="B482" s="12"/>
      <c r="C482" s="13"/>
    </row>
    <row r="483" customFormat="false" ht="15" hidden="false" customHeight="false" outlineLevel="0" collapsed="false">
      <c r="A483" s="11"/>
      <c r="B483" s="12"/>
      <c r="C483" s="13"/>
    </row>
    <row r="484" customFormat="false" ht="15" hidden="false" customHeight="false" outlineLevel="0" collapsed="false">
      <c r="A484" s="11"/>
      <c r="B484" s="12"/>
      <c r="C484" s="13"/>
    </row>
    <row r="485" customFormat="false" ht="15" hidden="false" customHeight="false" outlineLevel="0" collapsed="false">
      <c r="A485" s="11"/>
      <c r="B485" s="12"/>
      <c r="C485" s="13"/>
    </row>
    <row r="486" customFormat="false" ht="15" hidden="false" customHeight="false" outlineLevel="0" collapsed="false">
      <c r="A486" s="11"/>
      <c r="B486" s="12"/>
      <c r="C486" s="13"/>
    </row>
    <row r="487" customFormat="false" ht="15" hidden="false" customHeight="false" outlineLevel="0" collapsed="false">
      <c r="A487" s="11"/>
      <c r="B487" s="12"/>
      <c r="C487" s="13"/>
    </row>
    <row r="488" customFormat="false" ht="15" hidden="false" customHeight="false" outlineLevel="0" collapsed="false">
      <c r="A488" s="11"/>
      <c r="B488" s="12"/>
      <c r="C488" s="13"/>
    </row>
    <row r="489" customFormat="false" ht="15" hidden="false" customHeight="false" outlineLevel="0" collapsed="false">
      <c r="A489" s="11"/>
      <c r="B489" s="12"/>
      <c r="C489" s="13"/>
    </row>
    <row r="490" customFormat="false" ht="15" hidden="false" customHeight="false" outlineLevel="0" collapsed="false">
      <c r="A490" s="11"/>
      <c r="B490" s="12"/>
      <c r="C490" s="13"/>
    </row>
    <row r="491" customFormat="false" ht="15" hidden="false" customHeight="false" outlineLevel="0" collapsed="false">
      <c r="A491" s="11"/>
      <c r="B491" s="12"/>
      <c r="C491" s="13"/>
    </row>
    <row r="492" customFormat="false" ht="15" hidden="false" customHeight="false" outlineLevel="0" collapsed="false">
      <c r="A492" s="11"/>
      <c r="B492" s="12"/>
      <c r="C492" s="13"/>
    </row>
    <row r="493" customFormat="false" ht="15" hidden="false" customHeight="false" outlineLevel="0" collapsed="false">
      <c r="A493" s="11"/>
      <c r="B493" s="12"/>
      <c r="C493" s="13"/>
    </row>
    <row r="494" customFormat="false" ht="15" hidden="false" customHeight="false" outlineLevel="0" collapsed="false">
      <c r="A494" s="11"/>
      <c r="B494" s="12"/>
      <c r="C494" s="13"/>
    </row>
    <row r="495" customFormat="false" ht="15" hidden="false" customHeight="false" outlineLevel="0" collapsed="false">
      <c r="A495" s="11"/>
      <c r="B495" s="12"/>
      <c r="C495" s="13"/>
    </row>
    <row r="496" customFormat="false" ht="15" hidden="false" customHeight="false" outlineLevel="0" collapsed="false">
      <c r="A496" s="11"/>
      <c r="B496" s="12"/>
      <c r="C496" s="13"/>
    </row>
    <row r="497" customFormat="false" ht="15" hidden="false" customHeight="false" outlineLevel="0" collapsed="false">
      <c r="A497" s="11"/>
      <c r="B497" s="12"/>
      <c r="C497" s="13"/>
    </row>
    <row r="498" customFormat="false" ht="15" hidden="false" customHeight="false" outlineLevel="0" collapsed="false">
      <c r="A498" s="11"/>
      <c r="B498" s="12"/>
      <c r="C498" s="13"/>
    </row>
    <row r="499" customFormat="false" ht="15" hidden="false" customHeight="false" outlineLevel="0" collapsed="false">
      <c r="A499" s="11"/>
      <c r="B499" s="12"/>
      <c r="C499" s="13"/>
    </row>
    <row r="500" customFormat="false" ht="15" hidden="false" customHeight="false" outlineLevel="0" collapsed="false">
      <c r="A500" s="11"/>
      <c r="B500" s="12"/>
      <c r="C500" s="13"/>
    </row>
    <row r="501" customFormat="false" ht="15" hidden="false" customHeight="false" outlineLevel="0" collapsed="false">
      <c r="A501" s="11"/>
      <c r="B501" s="12"/>
      <c r="C501" s="13"/>
    </row>
    <row r="502" customFormat="false" ht="15" hidden="false" customHeight="false" outlineLevel="0" collapsed="false">
      <c r="A502" s="11"/>
      <c r="B502" s="12"/>
      <c r="C502" s="13"/>
    </row>
    <row r="503" customFormat="false" ht="15" hidden="false" customHeight="false" outlineLevel="0" collapsed="false">
      <c r="A503" s="11"/>
      <c r="B503" s="12"/>
      <c r="C503" s="13"/>
    </row>
    <row r="504" customFormat="false" ht="15" hidden="false" customHeight="false" outlineLevel="0" collapsed="false">
      <c r="A504" s="11"/>
      <c r="B504" s="12"/>
      <c r="C504" s="13"/>
    </row>
    <row r="505" customFormat="false" ht="15" hidden="false" customHeight="false" outlineLevel="0" collapsed="false">
      <c r="A505" s="11"/>
      <c r="B505" s="12"/>
      <c r="C505" s="13"/>
    </row>
    <row r="506" customFormat="false" ht="15" hidden="false" customHeight="false" outlineLevel="0" collapsed="false">
      <c r="A506" s="11"/>
      <c r="B506" s="12"/>
      <c r="C506" s="13"/>
    </row>
    <row r="507" customFormat="false" ht="15" hidden="false" customHeight="false" outlineLevel="0" collapsed="false">
      <c r="A507" s="11"/>
      <c r="B507" s="12"/>
      <c r="C507" s="13"/>
    </row>
    <row r="508" customFormat="false" ht="15" hidden="false" customHeight="false" outlineLevel="0" collapsed="false">
      <c r="A508" s="11"/>
      <c r="B508" s="12"/>
      <c r="C508" s="13"/>
    </row>
    <row r="509" customFormat="false" ht="15" hidden="false" customHeight="false" outlineLevel="0" collapsed="false">
      <c r="A509" s="11"/>
      <c r="B509" s="12"/>
      <c r="C509" s="13"/>
    </row>
    <row r="510" customFormat="false" ht="15" hidden="false" customHeight="false" outlineLevel="0" collapsed="false">
      <c r="A510" s="11"/>
      <c r="B510" s="12"/>
      <c r="C510" s="13"/>
    </row>
    <row r="511" customFormat="false" ht="15" hidden="false" customHeight="false" outlineLevel="0" collapsed="false">
      <c r="A511" s="11"/>
      <c r="B511" s="12"/>
      <c r="C511" s="13"/>
    </row>
    <row r="512" customFormat="false" ht="15" hidden="false" customHeight="false" outlineLevel="0" collapsed="false">
      <c r="A512" s="11"/>
      <c r="B512" s="12"/>
      <c r="C512" s="13"/>
    </row>
    <row r="513" customFormat="false" ht="15" hidden="false" customHeight="false" outlineLevel="0" collapsed="false">
      <c r="A513" s="11"/>
      <c r="B513" s="12"/>
      <c r="C513" s="13"/>
    </row>
    <row r="514" customFormat="false" ht="15" hidden="false" customHeight="false" outlineLevel="0" collapsed="false">
      <c r="A514" s="11"/>
      <c r="B514" s="12"/>
      <c r="C514" s="13"/>
    </row>
    <row r="515" customFormat="false" ht="15" hidden="false" customHeight="false" outlineLevel="0" collapsed="false">
      <c r="A515" s="11"/>
      <c r="B515" s="12"/>
      <c r="C515" s="13"/>
    </row>
  </sheetData>
  <dataValidations count="1">
    <dataValidation allowBlank="false" errorStyle="stop" operator="between" showDropDown="false" showErrorMessage="false" showInputMessage="false" sqref="B7" type="list">
      <formula1>"SI,NO"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22"/>
  </cols>
  <sheetData>
    <row r="1" customFormat="false" ht="15" hidden="false" customHeight="false" outlineLevel="0" collapsed="false">
      <c r="A1" s="14" t="s">
        <v>18</v>
      </c>
      <c r="B1" s="14" t="s">
        <v>19</v>
      </c>
      <c r="C1" s="14" t="s">
        <v>20</v>
      </c>
      <c r="D1" s="14" t="s">
        <v>21</v>
      </c>
    </row>
    <row r="2" customFormat="false" ht="15" hidden="false" customHeight="false" outlineLevel="0" collapsed="false">
      <c r="A2" s="15" t="n">
        <v>1</v>
      </c>
      <c r="B2" s="16" t="n">
        <f aca="false">IF(YEAR(DATE(Calcolo!$B$4,1,1)+0)=Calcolo!$B$4,DATE(Calcolo!$B$4,1,1)+0,"")</f>
        <v>45658</v>
      </c>
      <c r="C2" s="17" t="n">
        <f aca="false">IF(B2="","",Calcolo!$B$5+SUMIFS(Calcolo!$C$16:$C$515,Calcolo!$A$16:$A$515,"&gt;="&amp;DATE(Calcolo!$B$4,1,1),Calcolo!$A$16:$A$515,"&lt;="&amp;B2))</f>
        <v>1500</v>
      </c>
      <c r="D2" s="17" t="n">
        <f aca="false">IF(B2="",0,IF(Calcolo!$B$7="SI",MAX(0,C2),C2))</f>
        <v>1500</v>
      </c>
    </row>
    <row r="3" customFormat="false" ht="15" hidden="false" customHeight="false" outlineLevel="0" collapsed="false">
      <c r="A3" s="15" t="n">
        <v>2</v>
      </c>
      <c r="B3" s="16" t="n">
        <f aca="false">IF(YEAR(DATE(Calcolo!$B$4,1,1)+1)=Calcolo!$B$4,DATE(Calcolo!$B$4,1,1)+1,"")</f>
        <v>45659</v>
      </c>
      <c r="C3" s="17" t="n">
        <f aca="false">IF(B3="","",Calcolo!$B$5+SUMIFS(Calcolo!$C$16:$C$515,Calcolo!$A$16:$A$515,"&gt;="&amp;DATE(Calcolo!$B$4,1,1),Calcolo!$A$16:$A$515,"&lt;="&amp;B3))</f>
        <v>1500</v>
      </c>
      <c r="D3" s="17" t="n">
        <f aca="false">IF(B3="",0,IF(Calcolo!$B$7="SI",MAX(0,C3),C3))</f>
        <v>1500</v>
      </c>
    </row>
    <row r="4" customFormat="false" ht="15" hidden="false" customHeight="false" outlineLevel="0" collapsed="false">
      <c r="A4" s="15" t="n">
        <v>3</v>
      </c>
      <c r="B4" s="16" t="n">
        <f aca="false">IF(YEAR(DATE(Calcolo!$B$4,1,1)+2)=Calcolo!$B$4,DATE(Calcolo!$B$4,1,1)+2,"")</f>
        <v>45660</v>
      </c>
      <c r="C4" s="17" t="n">
        <f aca="false">IF(B4="","",Calcolo!$B$5+SUMIFS(Calcolo!$C$16:$C$515,Calcolo!$A$16:$A$515,"&gt;="&amp;DATE(Calcolo!$B$4,1,1),Calcolo!$A$16:$A$515,"&lt;="&amp;B4))</f>
        <v>1500</v>
      </c>
      <c r="D4" s="17" t="n">
        <f aca="false">IF(B4="",0,IF(Calcolo!$B$7="SI",MAX(0,C4),C4))</f>
        <v>1500</v>
      </c>
    </row>
    <row r="5" customFormat="false" ht="15" hidden="false" customHeight="false" outlineLevel="0" collapsed="false">
      <c r="A5" s="15" t="n">
        <v>4</v>
      </c>
      <c r="B5" s="16" t="n">
        <f aca="false">IF(YEAR(DATE(Calcolo!$B$4,1,1)+3)=Calcolo!$B$4,DATE(Calcolo!$B$4,1,1)+3,"")</f>
        <v>45661</v>
      </c>
      <c r="C5" s="17" t="n">
        <f aca="false">IF(B5="","",Calcolo!$B$5+SUMIFS(Calcolo!$C$16:$C$515,Calcolo!$A$16:$A$515,"&gt;="&amp;DATE(Calcolo!$B$4,1,1),Calcolo!$A$16:$A$515,"&lt;="&amp;B5))</f>
        <v>1500</v>
      </c>
      <c r="D5" s="17" t="n">
        <f aca="false">IF(B5="",0,IF(Calcolo!$B$7="SI",MAX(0,C5),C5))</f>
        <v>1500</v>
      </c>
    </row>
    <row r="6" customFormat="false" ht="15" hidden="false" customHeight="false" outlineLevel="0" collapsed="false">
      <c r="A6" s="15" t="n">
        <v>5</v>
      </c>
      <c r="B6" s="16" t="n">
        <f aca="false">IF(YEAR(DATE(Calcolo!$B$4,1,1)+4)=Calcolo!$B$4,DATE(Calcolo!$B$4,1,1)+4,"")</f>
        <v>45662</v>
      </c>
      <c r="C6" s="17" t="n">
        <f aca="false">IF(B6="","",Calcolo!$B$5+SUMIFS(Calcolo!$C$16:$C$515,Calcolo!$A$16:$A$515,"&gt;="&amp;DATE(Calcolo!$B$4,1,1),Calcolo!$A$16:$A$515,"&lt;="&amp;B6))</f>
        <v>1500</v>
      </c>
      <c r="D6" s="17" t="n">
        <f aca="false">IF(B6="",0,IF(Calcolo!$B$7="SI",MAX(0,C6),C6))</f>
        <v>1500</v>
      </c>
    </row>
    <row r="7" customFormat="false" ht="15" hidden="false" customHeight="false" outlineLevel="0" collapsed="false">
      <c r="A7" s="15" t="n">
        <v>6</v>
      </c>
      <c r="B7" s="16" t="n">
        <f aca="false">IF(YEAR(DATE(Calcolo!$B$4,1,1)+5)=Calcolo!$B$4,DATE(Calcolo!$B$4,1,1)+5,"")</f>
        <v>45663</v>
      </c>
      <c r="C7" s="17" t="n">
        <f aca="false">IF(B7="","",Calcolo!$B$5+SUMIFS(Calcolo!$C$16:$C$515,Calcolo!$A$16:$A$515,"&gt;="&amp;DATE(Calcolo!$B$4,1,1),Calcolo!$A$16:$A$515,"&lt;="&amp;B7))</f>
        <v>1500</v>
      </c>
      <c r="D7" s="17" t="n">
        <f aca="false">IF(B7="",0,IF(Calcolo!$B$7="SI",MAX(0,C7),C7))</f>
        <v>1500</v>
      </c>
    </row>
    <row r="8" customFormat="false" ht="15" hidden="false" customHeight="false" outlineLevel="0" collapsed="false">
      <c r="A8" s="15" t="n">
        <v>7</v>
      </c>
      <c r="B8" s="16" t="n">
        <f aca="false">IF(YEAR(DATE(Calcolo!$B$4,1,1)+6)=Calcolo!$B$4,DATE(Calcolo!$B$4,1,1)+6,"")</f>
        <v>45664</v>
      </c>
      <c r="C8" s="17" t="n">
        <f aca="false">IF(B8="","",Calcolo!$B$5+SUMIFS(Calcolo!$C$16:$C$515,Calcolo!$A$16:$A$515,"&gt;="&amp;DATE(Calcolo!$B$4,1,1),Calcolo!$A$16:$A$515,"&lt;="&amp;B8))</f>
        <v>1500</v>
      </c>
      <c r="D8" s="17" t="n">
        <f aca="false">IF(B8="",0,IF(Calcolo!$B$7="SI",MAX(0,C8),C8))</f>
        <v>1500</v>
      </c>
    </row>
    <row r="9" customFormat="false" ht="15" hidden="false" customHeight="false" outlineLevel="0" collapsed="false">
      <c r="A9" s="15" t="n">
        <v>8</v>
      </c>
      <c r="B9" s="16" t="n">
        <f aca="false">IF(YEAR(DATE(Calcolo!$B$4,1,1)+7)=Calcolo!$B$4,DATE(Calcolo!$B$4,1,1)+7,"")</f>
        <v>45665</v>
      </c>
      <c r="C9" s="17" t="n">
        <f aca="false">IF(B9="","",Calcolo!$B$5+SUMIFS(Calcolo!$C$16:$C$515,Calcolo!$A$16:$A$515,"&gt;="&amp;DATE(Calcolo!$B$4,1,1),Calcolo!$A$16:$A$515,"&lt;="&amp;B9))</f>
        <v>1500</v>
      </c>
      <c r="D9" s="17" t="n">
        <f aca="false">IF(B9="",0,IF(Calcolo!$B$7="SI",MAX(0,C9),C9))</f>
        <v>1500</v>
      </c>
    </row>
    <row r="10" customFormat="false" ht="15" hidden="false" customHeight="false" outlineLevel="0" collapsed="false">
      <c r="A10" s="15" t="n">
        <v>9</v>
      </c>
      <c r="B10" s="16" t="n">
        <f aca="false">IF(YEAR(DATE(Calcolo!$B$4,1,1)+8)=Calcolo!$B$4,DATE(Calcolo!$B$4,1,1)+8,"")</f>
        <v>45666</v>
      </c>
      <c r="C10" s="17" t="n">
        <f aca="false">IF(B10="","",Calcolo!$B$5+SUMIFS(Calcolo!$C$16:$C$515,Calcolo!$A$16:$A$515,"&gt;="&amp;DATE(Calcolo!$B$4,1,1),Calcolo!$A$16:$A$515,"&lt;="&amp;B10))</f>
        <v>1500</v>
      </c>
      <c r="D10" s="17" t="n">
        <f aca="false">IF(B10="",0,IF(Calcolo!$B$7="SI",MAX(0,C10),C10))</f>
        <v>1500</v>
      </c>
    </row>
    <row r="11" customFormat="false" ht="15" hidden="false" customHeight="false" outlineLevel="0" collapsed="false">
      <c r="A11" s="15" t="n">
        <v>10</v>
      </c>
      <c r="B11" s="16" t="n">
        <f aca="false">IF(YEAR(DATE(Calcolo!$B$4,1,1)+9)=Calcolo!$B$4,DATE(Calcolo!$B$4,1,1)+9,"")</f>
        <v>45667</v>
      </c>
      <c r="C11" s="17" t="n">
        <f aca="false">IF(B11="","",Calcolo!$B$5+SUMIFS(Calcolo!$C$16:$C$515,Calcolo!$A$16:$A$515,"&gt;="&amp;DATE(Calcolo!$B$4,1,1),Calcolo!$A$16:$A$515,"&lt;="&amp;B11))</f>
        <v>1500</v>
      </c>
      <c r="D11" s="17" t="n">
        <f aca="false">IF(B11="",0,IF(Calcolo!$B$7="SI",MAX(0,C11),C11))</f>
        <v>1500</v>
      </c>
    </row>
    <row r="12" customFormat="false" ht="15" hidden="false" customHeight="false" outlineLevel="0" collapsed="false">
      <c r="A12" s="15" t="n">
        <v>11</v>
      </c>
      <c r="B12" s="16" t="n">
        <f aca="false">IF(YEAR(DATE(Calcolo!$B$4,1,1)+10)=Calcolo!$B$4,DATE(Calcolo!$B$4,1,1)+10,"")</f>
        <v>45668</v>
      </c>
      <c r="C12" s="17" t="n">
        <f aca="false">IF(B12="","",Calcolo!$B$5+SUMIFS(Calcolo!$C$16:$C$515,Calcolo!$A$16:$A$515,"&gt;="&amp;DATE(Calcolo!$B$4,1,1),Calcolo!$A$16:$A$515,"&lt;="&amp;B12))</f>
        <v>1500</v>
      </c>
      <c r="D12" s="17" t="n">
        <f aca="false">IF(B12="",0,IF(Calcolo!$B$7="SI",MAX(0,C12),C12))</f>
        <v>1500</v>
      </c>
    </row>
    <row r="13" customFormat="false" ht="15" hidden="false" customHeight="false" outlineLevel="0" collapsed="false">
      <c r="A13" s="15" t="n">
        <v>12</v>
      </c>
      <c r="B13" s="16" t="n">
        <f aca="false">IF(YEAR(DATE(Calcolo!$B$4,1,1)+11)=Calcolo!$B$4,DATE(Calcolo!$B$4,1,1)+11,"")</f>
        <v>45669</v>
      </c>
      <c r="C13" s="17" t="n">
        <f aca="false">IF(B13="","",Calcolo!$B$5+SUMIFS(Calcolo!$C$16:$C$515,Calcolo!$A$16:$A$515,"&gt;="&amp;DATE(Calcolo!$B$4,1,1),Calcolo!$A$16:$A$515,"&lt;="&amp;B13))</f>
        <v>1500</v>
      </c>
      <c r="D13" s="17" t="n">
        <f aca="false">IF(B13="",0,IF(Calcolo!$B$7="SI",MAX(0,C13),C13))</f>
        <v>1500</v>
      </c>
    </row>
    <row r="14" customFormat="false" ht="15" hidden="false" customHeight="false" outlineLevel="0" collapsed="false">
      <c r="A14" s="15" t="n">
        <v>13</v>
      </c>
      <c r="B14" s="16" t="n">
        <f aca="false">IF(YEAR(DATE(Calcolo!$B$4,1,1)+12)=Calcolo!$B$4,DATE(Calcolo!$B$4,1,1)+12,"")</f>
        <v>45670</v>
      </c>
      <c r="C14" s="17" t="n">
        <f aca="false">IF(B14="","",Calcolo!$B$5+SUMIFS(Calcolo!$C$16:$C$515,Calcolo!$A$16:$A$515,"&gt;="&amp;DATE(Calcolo!$B$4,1,1),Calcolo!$A$16:$A$515,"&lt;="&amp;B14))</f>
        <v>1500</v>
      </c>
      <c r="D14" s="17" t="n">
        <f aca="false">IF(B14="",0,IF(Calcolo!$B$7="SI",MAX(0,C14),C14))</f>
        <v>1500</v>
      </c>
    </row>
    <row r="15" customFormat="false" ht="15" hidden="false" customHeight="false" outlineLevel="0" collapsed="false">
      <c r="A15" s="15" t="n">
        <v>14</v>
      </c>
      <c r="B15" s="16" t="n">
        <f aca="false">IF(YEAR(DATE(Calcolo!$B$4,1,1)+13)=Calcolo!$B$4,DATE(Calcolo!$B$4,1,1)+13,"")</f>
        <v>45671</v>
      </c>
      <c r="C15" s="17" t="n">
        <f aca="false">IF(B15="","",Calcolo!$B$5+SUMIFS(Calcolo!$C$16:$C$515,Calcolo!$A$16:$A$515,"&gt;="&amp;DATE(Calcolo!$B$4,1,1),Calcolo!$A$16:$A$515,"&lt;="&amp;B15))</f>
        <v>1500</v>
      </c>
      <c r="D15" s="17" t="n">
        <f aca="false">IF(B15="",0,IF(Calcolo!$B$7="SI",MAX(0,C15),C15))</f>
        <v>1500</v>
      </c>
    </row>
    <row r="16" customFormat="false" ht="15" hidden="false" customHeight="false" outlineLevel="0" collapsed="false">
      <c r="A16" s="15" t="n">
        <v>15</v>
      </c>
      <c r="B16" s="16" t="n">
        <f aca="false">IF(YEAR(DATE(Calcolo!$B$4,1,1)+14)=Calcolo!$B$4,DATE(Calcolo!$B$4,1,1)+14,"")</f>
        <v>45672</v>
      </c>
      <c r="C16" s="17" t="n">
        <f aca="false">IF(B16="","",Calcolo!$B$5+SUMIFS(Calcolo!$C$16:$C$515,Calcolo!$A$16:$A$515,"&gt;="&amp;DATE(Calcolo!$B$4,1,1),Calcolo!$A$16:$A$515,"&lt;="&amp;B16))</f>
        <v>1500</v>
      </c>
      <c r="D16" s="17" t="n">
        <f aca="false">IF(B16="",0,IF(Calcolo!$B$7="SI",MAX(0,C16),C16))</f>
        <v>1500</v>
      </c>
    </row>
    <row r="17" customFormat="false" ht="15" hidden="false" customHeight="false" outlineLevel="0" collapsed="false">
      <c r="A17" s="15" t="n">
        <v>16</v>
      </c>
      <c r="B17" s="16" t="n">
        <f aca="false">IF(YEAR(DATE(Calcolo!$B$4,1,1)+15)=Calcolo!$B$4,DATE(Calcolo!$B$4,1,1)+15,"")</f>
        <v>45673</v>
      </c>
      <c r="C17" s="17" t="n">
        <f aca="false">IF(B17="","",Calcolo!$B$5+SUMIFS(Calcolo!$C$16:$C$515,Calcolo!$A$16:$A$515,"&gt;="&amp;DATE(Calcolo!$B$4,1,1),Calcolo!$A$16:$A$515,"&lt;="&amp;B17))</f>
        <v>1500</v>
      </c>
      <c r="D17" s="17" t="n">
        <f aca="false">IF(B17="",0,IF(Calcolo!$B$7="SI",MAX(0,C17),C17))</f>
        <v>1500</v>
      </c>
    </row>
    <row r="18" customFormat="false" ht="15" hidden="false" customHeight="false" outlineLevel="0" collapsed="false">
      <c r="A18" s="15" t="n">
        <v>17</v>
      </c>
      <c r="B18" s="16" t="n">
        <f aca="false">IF(YEAR(DATE(Calcolo!$B$4,1,1)+16)=Calcolo!$B$4,DATE(Calcolo!$B$4,1,1)+16,"")</f>
        <v>45674</v>
      </c>
      <c r="C18" s="17" t="n">
        <f aca="false">IF(B18="","",Calcolo!$B$5+SUMIFS(Calcolo!$C$16:$C$515,Calcolo!$A$16:$A$515,"&gt;="&amp;DATE(Calcolo!$B$4,1,1),Calcolo!$A$16:$A$515,"&lt;="&amp;B18))</f>
        <v>1500</v>
      </c>
      <c r="D18" s="17" t="n">
        <f aca="false">IF(B18="",0,IF(Calcolo!$B$7="SI",MAX(0,C18),C18))</f>
        <v>1500</v>
      </c>
    </row>
    <row r="19" customFormat="false" ht="15" hidden="false" customHeight="false" outlineLevel="0" collapsed="false">
      <c r="A19" s="15" t="n">
        <v>18</v>
      </c>
      <c r="B19" s="16" t="n">
        <f aca="false">IF(YEAR(DATE(Calcolo!$B$4,1,1)+17)=Calcolo!$B$4,DATE(Calcolo!$B$4,1,1)+17,"")</f>
        <v>45675</v>
      </c>
      <c r="C19" s="17" t="n">
        <f aca="false">IF(B19="","",Calcolo!$B$5+SUMIFS(Calcolo!$C$16:$C$515,Calcolo!$A$16:$A$515,"&gt;="&amp;DATE(Calcolo!$B$4,1,1),Calcolo!$A$16:$A$515,"&lt;="&amp;B19))</f>
        <v>1500</v>
      </c>
      <c r="D19" s="17" t="n">
        <f aca="false">IF(B19="",0,IF(Calcolo!$B$7="SI",MAX(0,C19),C19))</f>
        <v>1500</v>
      </c>
    </row>
    <row r="20" customFormat="false" ht="15" hidden="false" customHeight="false" outlineLevel="0" collapsed="false">
      <c r="A20" s="15" t="n">
        <v>19</v>
      </c>
      <c r="B20" s="16" t="n">
        <f aca="false">IF(YEAR(DATE(Calcolo!$B$4,1,1)+18)=Calcolo!$B$4,DATE(Calcolo!$B$4,1,1)+18,"")</f>
        <v>45676</v>
      </c>
      <c r="C20" s="17" t="n">
        <f aca="false">IF(B20="","",Calcolo!$B$5+SUMIFS(Calcolo!$C$16:$C$515,Calcolo!$A$16:$A$515,"&gt;="&amp;DATE(Calcolo!$B$4,1,1),Calcolo!$A$16:$A$515,"&lt;="&amp;B20))</f>
        <v>1500</v>
      </c>
      <c r="D20" s="17" t="n">
        <f aca="false">IF(B20="",0,IF(Calcolo!$B$7="SI",MAX(0,C20),C20))</f>
        <v>1500</v>
      </c>
    </row>
    <row r="21" customFormat="false" ht="15" hidden="false" customHeight="false" outlineLevel="0" collapsed="false">
      <c r="A21" s="15" t="n">
        <v>20</v>
      </c>
      <c r="B21" s="16" t="n">
        <f aca="false">IF(YEAR(DATE(Calcolo!$B$4,1,1)+19)=Calcolo!$B$4,DATE(Calcolo!$B$4,1,1)+19,"")</f>
        <v>45677</v>
      </c>
      <c r="C21" s="17" t="n">
        <f aca="false">IF(B21="","",Calcolo!$B$5+SUMIFS(Calcolo!$C$16:$C$515,Calcolo!$A$16:$A$515,"&gt;="&amp;DATE(Calcolo!$B$4,1,1),Calcolo!$A$16:$A$515,"&lt;="&amp;B21))</f>
        <v>1500</v>
      </c>
      <c r="D21" s="17" t="n">
        <f aca="false">IF(B21="",0,IF(Calcolo!$B$7="SI",MAX(0,C21),C21))</f>
        <v>1500</v>
      </c>
    </row>
    <row r="22" customFormat="false" ht="15" hidden="false" customHeight="false" outlineLevel="0" collapsed="false">
      <c r="A22" s="15" t="n">
        <v>21</v>
      </c>
      <c r="B22" s="16" t="n">
        <f aca="false">IF(YEAR(DATE(Calcolo!$B$4,1,1)+20)=Calcolo!$B$4,DATE(Calcolo!$B$4,1,1)+20,"")</f>
        <v>45678</v>
      </c>
      <c r="C22" s="17" t="n">
        <f aca="false">IF(B22="","",Calcolo!$B$5+SUMIFS(Calcolo!$C$16:$C$515,Calcolo!$A$16:$A$515,"&gt;="&amp;DATE(Calcolo!$B$4,1,1),Calcolo!$A$16:$A$515,"&lt;="&amp;B22))</f>
        <v>1500</v>
      </c>
      <c r="D22" s="17" t="n">
        <f aca="false">IF(B22="",0,IF(Calcolo!$B$7="SI",MAX(0,C22),C22))</f>
        <v>1500</v>
      </c>
    </row>
    <row r="23" customFormat="false" ht="15" hidden="false" customHeight="false" outlineLevel="0" collapsed="false">
      <c r="A23" s="15" t="n">
        <v>22</v>
      </c>
      <c r="B23" s="16" t="n">
        <f aca="false">IF(YEAR(DATE(Calcolo!$B$4,1,1)+21)=Calcolo!$B$4,DATE(Calcolo!$B$4,1,1)+21,"")</f>
        <v>45679</v>
      </c>
      <c r="C23" s="17" t="n">
        <f aca="false">IF(B23="","",Calcolo!$B$5+SUMIFS(Calcolo!$C$16:$C$515,Calcolo!$A$16:$A$515,"&gt;="&amp;DATE(Calcolo!$B$4,1,1),Calcolo!$A$16:$A$515,"&lt;="&amp;B23))</f>
        <v>1500</v>
      </c>
      <c r="D23" s="17" t="n">
        <f aca="false">IF(B23="",0,IF(Calcolo!$B$7="SI",MAX(0,C23),C23))</f>
        <v>1500</v>
      </c>
    </row>
    <row r="24" customFormat="false" ht="15" hidden="false" customHeight="false" outlineLevel="0" collapsed="false">
      <c r="A24" s="15" t="n">
        <v>23</v>
      </c>
      <c r="B24" s="16" t="n">
        <f aca="false">IF(YEAR(DATE(Calcolo!$B$4,1,1)+22)=Calcolo!$B$4,DATE(Calcolo!$B$4,1,1)+22,"")</f>
        <v>45680</v>
      </c>
      <c r="C24" s="17" t="n">
        <f aca="false">IF(B24="","",Calcolo!$B$5+SUMIFS(Calcolo!$C$16:$C$515,Calcolo!$A$16:$A$515,"&gt;="&amp;DATE(Calcolo!$B$4,1,1),Calcolo!$A$16:$A$515,"&lt;="&amp;B24))</f>
        <v>1500</v>
      </c>
      <c r="D24" s="17" t="n">
        <f aca="false">IF(B24="",0,IF(Calcolo!$B$7="SI",MAX(0,C24),C24))</f>
        <v>1500</v>
      </c>
    </row>
    <row r="25" customFormat="false" ht="15" hidden="false" customHeight="false" outlineLevel="0" collapsed="false">
      <c r="A25" s="15" t="n">
        <v>24</v>
      </c>
      <c r="B25" s="16" t="n">
        <f aca="false">IF(YEAR(DATE(Calcolo!$B$4,1,1)+23)=Calcolo!$B$4,DATE(Calcolo!$B$4,1,1)+23,"")</f>
        <v>45681</v>
      </c>
      <c r="C25" s="17" t="n">
        <f aca="false">IF(B25="","",Calcolo!$B$5+SUMIFS(Calcolo!$C$16:$C$515,Calcolo!$A$16:$A$515,"&gt;="&amp;DATE(Calcolo!$B$4,1,1),Calcolo!$A$16:$A$515,"&lt;="&amp;B25))</f>
        <v>1500</v>
      </c>
      <c r="D25" s="17" t="n">
        <f aca="false">IF(B25="",0,IF(Calcolo!$B$7="SI",MAX(0,C25),C25))</f>
        <v>1500</v>
      </c>
    </row>
    <row r="26" customFormat="false" ht="15" hidden="false" customHeight="false" outlineLevel="0" collapsed="false">
      <c r="A26" s="15" t="n">
        <v>25</v>
      </c>
      <c r="B26" s="16" t="n">
        <f aca="false">IF(YEAR(DATE(Calcolo!$B$4,1,1)+24)=Calcolo!$B$4,DATE(Calcolo!$B$4,1,1)+24,"")</f>
        <v>45682</v>
      </c>
      <c r="C26" s="17" t="n">
        <f aca="false">IF(B26="","",Calcolo!$B$5+SUMIFS(Calcolo!$C$16:$C$515,Calcolo!$A$16:$A$515,"&gt;="&amp;DATE(Calcolo!$B$4,1,1),Calcolo!$A$16:$A$515,"&lt;="&amp;B26))</f>
        <v>1500</v>
      </c>
      <c r="D26" s="17" t="n">
        <f aca="false">IF(B26="",0,IF(Calcolo!$B$7="SI",MAX(0,C26),C26))</f>
        <v>1500</v>
      </c>
    </row>
    <row r="27" customFormat="false" ht="15" hidden="false" customHeight="false" outlineLevel="0" collapsed="false">
      <c r="A27" s="15" t="n">
        <v>26</v>
      </c>
      <c r="B27" s="16" t="n">
        <f aca="false">IF(YEAR(DATE(Calcolo!$B$4,1,1)+25)=Calcolo!$B$4,DATE(Calcolo!$B$4,1,1)+25,"")</f>
        <v>45683</v>
      </c>
      <c r="C27" s="17" t="n">
        <f aca="false">IF(B27="","",Calcolo!$B$5+SUMIFS(Calcolo!$C$16:$C$515,Calcolo!$A$16:$A$515,"&gt;="&amp;DATE(Calcolo!$B$4,1,1),Calcolo!$A$16:$A$515,"&lt;="&amp;B27))</f>
        <v>1500</v>
      </c>
      <c r="D27" s="17" t="n">
        <f aca="false">IF(B27="",0,IF(Calcolo!$B$7="SI",MAX(0,C27),C27))</f>
        <v>1500</v>
      </c>
    </row>
    <row r="28" customFormat="false" ht="15" hidden="false" customHeight="false" outlineLevel="0" collapsed="false">
      <c r="A28" s="15" t="n">
        <v>27</v>
      </c>
      <c r="B28" s="16" t="n">
        <f aca="false">IF(YEAR(DATE(Calcolo!$B$4,1,1)+26)=Calcolo!$B$4,DATE(Calcolo!$B$4,1,1)+26,"")</f>
        <v>45684</v>
      </c>
      <c r="C28" s="17" t="n">
        <f aca="false">IF(B28="","",Calcolo!$B$5+SUMIFS(Calcolo!$C$16:$C$515,Calcolo!$A$16:$A$515,"&gt;="&amp;DATE(Calcolo!$B$4,1,1),Calcolo!$A$16:$A$515,"&lt;="&amp;B28))</f>
        <v>1500</v>
      </c>
      <c r="D28" s="17" t="n">
        <f aca="false">IF(B28="",0,IF(Calcolo!$B$7="SI",MAX(0,C28),C28))</f>
        <v>1500</v>
      </c>
    </row>
    <row r="29" customFormat="false" ht="15" hidden="false" customHeight="false" outlineLevel="0" collapsed="false">
      <c r="A29" s="15" t="n">
        <v>28</v>
      </c>
      <c r="B29" s="16" t="n">
        <f aca="false">IF(YEAR(DATE(Calcolo!$B$4,1,1)+27)=Calcolo!$B$4,DATE(Calcolo!$B$4,1,1)+27,"")</f>
        <v>45685</v>
      </c>
      <c r="C29" s="17" t="n">
        <f aca="false">IF(B29="","",Calcolo!$B$5+SUMIFS(Calcolo!$C$16:$C$515,Calcolo!$A$16:$A$515,"&gt;="&amp;DATE(Calcolo!$B$4,1,1),Calcolo!$A$16:$A$515,"&lt;="&amp;B29))</f>
        <v>1500</v>
      </c>
      <c r="D29" s="17" t="n">
        <f aca="false">IF(B29="",0,IF(Calcolo!$B$7="SI",MAX(0,C29),C29))</f>
        <v>1500</v>
      </c>
    </row>
    <row r="30" customFormat="false" ht="15" hidden="false" customHeight="false" outlineLevel="0" collapsed="false">
      <c r="A30" s="15" t="n">
        <v>29</v>
      </c>
      <c r="B30" s="16" t="n">
        <f aca="false">IF(YEAR(DATE(Calcolo!$B$4,1,1)+28)=Calcolo!$B$4,DATE(Calcolo!$B$4,1,1)+28,"")</f>
        <v>45686</v>
      </c>
      <c r="C30" s="17" t="n">
        <f aca="false">IF(B30="","",Calcolo!$B$5+SUMIFS(Calcolo!$C$16:$C$515,Calcolo!$A$16:$A$515,"&gt;="&amp;DATE(Calcolo!$B$4,1,1),Calcolo!$A$16:$A$515,"&lt;="&amp;B30))</f>
        <v>1500</v>
      </c>
      <c r="D30" s="17" t="n">
        <f aca="false">IF(B30="",0,IF(Calcolo!$B$7="SI",MAX(0,C30),C30))</f>
        <v>1500</v>
      </c>
    </row>
    <row r="31" customFormat="false" ht="15" hidden="false" customHeight="false" outlineLevel="0" collapsed="false">
      <c r="A31" s="15" t="n">
        <v>30</v>
      </c>
      <c r="B31" s="16" t="n">
        <f aca="false">IF(YEAR(DATE(Calcolo!$B$4,1,1)+29)=Calcolo!$B$4,DATE(Calcolo!$B$4,1,1)+29,"")</f>
        <v>45687</v>
      </c>
      <c r="C31" s="17" t="n">
        <f aca="false">IF(B31="","",Calcolo!$B$5+SUMIFS(Calcolo!$C$16:$C$515,Calcolo!$A$16:$A$515,"&gt;="&amp;DATE(Calcolo!$B$4,1,1),Calcolo!$A$16:$A$515,"&lt;="&amp;B31))</f>
        <v>1500</v>
      </c>
      <c r="D31" s="17" t="n">
        <f aca="false">IF(B31="",0,IF(Calcolo!$B$7="SI",MAX(0,C31),C31))</f>
        <v>1500</v>
      </c>
    </row>
    <row r="32" customFormat="false" ht="15" hidden="false" customHeight="false" outlineLevel="0" collapsed="false">
      <c r="A32" s="15" t="n">
        <v>31</v>
      </c>
      <c r="B32" s="16" t="n">
        <f aca="false">IF(YEAR(DATE(Calcolo!$B$4,1,1)+30)=Calcolo!$B$4,DATE(Calcolo!$B$4,1,1)+30,"")</f>
        <v>45688</v>
      </c>
      <c r="C32" s="17" t="n">
        <f aca="false">IF(B32="","",Calcolo!$B$5+SUMIFS(Calcolo!$C$16:$C$515,Calcolo!$A$16:$A$515,"&gt;="&amp;DATE(Calcolo!$B$4,1,1),Calcolo!$A$16:$A$515,"&lt;="&amp;B32))</f>
        <v>1500</v>
      </c>
      <c r="D32" s="17" t="n">
        <f aca="false">IF(B32="",0,IF(Calcolo!$B$7="SI",MAX(0,C32),C32))</f>
        <v>1500</v>
      </c>
    </row>
    <row r="33" customFormat="false" ht="15" hidden="false" customHeight="false" outlineLevel="0" collapsed="false">
      <c r="A33" s="15" t="n">
        <v>32</v>
      </c>
      <c r="B33" s="16" t="n">
        <f aca="false">IF(YEAR(DATE(Calcolo!$B$4,1,1)+31)=Calcolo!$B$4,DATE(Calcolo!$B$4,1,1)+31,"")</f>
        <v>45689</v>
      </c>
      <c r="C33" s="17" t="n">
        <f aca="false">IF(B33="","",Calcolo!$B$5+SUMIFS(Calcolo!$C$16:$C$515,Calcolo!$A$16:$A$515,"&gt;="&amp;DATE(Calcolo!$B$4,1,1),Calcolo!$A$16:$A$515,"&lt;="&amp;B33))</f>
        <v>1500</v>
      </c>
      <c r="D33" s="17" t="n">
        <f aca="false">IF(B33="",0,IF(Calcolo!$B$7="SI",MAX(0,C33),C33))</f>
        <v>1500</v>
      </c>
    </row>
    <row r="34" customFormat="false" ht="15" hidden="false" customHeight="false" outlineLevel="0" collapsed="false">
      <c r="A34" s="15" t="n">
        <v>33</v>
      </c>
      <c r="B34" s="16" t="n">
        <f aca="false">IF(YEAR(DATE(Calcolo!$B$4,1,1)+32)=Calcolo!$B$4,DATE(Calcolo!$B$4,1,1)+32,"")</f>
        <v>45690</v>
      </c>
      <c r="C34" s="17" t="n">
        <f aca="false">IF(B34="","",Calcolo!$B$5+SUMIFS(Calcolo!$C$16:$C$515,Calcolo!$A$16:$A$515,"&gt;="&amp;DATE(Calcolo!$B$4,1,1),Calcolo!$A$16:$A$515,"&lt;="&amp;B34))</f>
        <v>1500</v>
      </c>
      <c r="D34" s="17" t="n">
        <f aca="false">IF(B34="",0,IF(Calcolo!$B$7="SI",MAX(0,C34),C34))</f>
        <v>1500</v>
      </c>
    </row>
    <row r="35" customFormat="false" ht="15" hidden="false" customHeight="false" outlineLevel="0" collapsed="false">
      <c r="A35" s="15" t="n">
        <v>34</v>
      </c>
      <c r="B35" s="16" t="n">
        <f aca="false">IF(YEAR(DATE(Calcolo!$B$4,1,1)+33)=Calcolo!$B$4,DATE(Calcolo!$B$4,1,1)+33,"")</f>
        <v>45691</v>
      </c>
      <c r="C35" s="17" t="n">
        <f aca="false">IF(B35="","",Calcolo!$B$5+SUMIFS(Calcolo!$C$16:$C$515,Calcolo!$A$16:$A$515,"&gt;="&amp;DATE(Calcolo!$B$4,1,1),Calcolo!$A$16:$A$515,"&lt;="&amp;B35))</f>
        <v>1500</v>
      </c>
      <c r="D35" s="17" t="n">
        <f aca="false">IF(B35="",0,IF(Calcolo!$B$7="SI",MAX(0,C35),C35))</f>
        <v>1500</v>
      </c>
    </row>
    <row r="36" customFormat="false" ht="15" hidden="false" customHeight="false" outlineLevel="0" collapsed="false">
      <c r="A36" s="15" t="n">
        <v>35</v>
      </c>
      <c r="B36" s="16" t="n">
        <f aca="false">IF(YEAR(DATE(Calcolo!$B$4,1,1)+34)=Calcolo!$B$4,DATE(Calcolo!$B$4,1,1)+34,"")</f>
        <v>45692</v>
      </c>
      <c r="C36" s="17" t="n">
        <f aca="false">IF(B36="","",Calcolo!$B$5+SUMIFS(Calcolo!$C$16:$C$515,Calcolo!$A$16:$A$515,"&gt;="&amp;DATE(Calcolo!$B$4,1,1),Calcolo!$A$16:$A$515,"&lt;="&amp;B36))</f>
        <v>1500</v>
      </c>
      <c r="D36" s="17" t="n">
        <f aca="false">IF(B36="",0,IF(Calcolo!$B$7="SI",MAX(0,C36),C36))</f>
        <v>1500</v>
      </c>
    </row>
    <row r="37" customFormat="false" ht="15" hidden="false" customHeight="false" outlineLevel="0" collapsed="false">
      <c r="A37" s="15" t="n">
        <v>36</v>
      </c>
      <c r="B37" s="16" t="n">
        <f aca="false">IF(YEAR(DATE(Calcolo!$B$4,1,1)+35)=Calcolo!$B$4,DATE(Calcolo!$B$4,1,1)+35,"")</f>
        <v>45693</v>
      </c>
      <c r="C37" s="17" t="n">
        <f aca="false">IF(B37="","",Calcolo!$B$5+SUMIFS(Calcolo!$C$16:$C$515,Calcolo!$A$16:$A$515,"&gt;="&amp;DATE(Calcolo!$B$4,1,1),Calcolo!$A$16:$A$515,"&lt;="&amp;B37))</f>
        <v>1500</v>
      </c>
      <c r="D37" s="17" t="n">
        <f aca="false">IF(B37="",0,IF(Calcolo!$B$7="SI",MAX(0,C37),C37))</f>
        <v>1500</v>
      </c>
    </row>
    <row r="38" customFormat="false" ht="15" hidden="false" customHeight="false" outlineLevel="0" collapsed="false">
      <c r="A38" s="15" t="n">
        <v>37</v>
      </c>
      <c r="B38" s="16" t="n">
        <f aca="false">IF(YEAR(DATE(Calcolo!$B$4,1,1)+36)=Calcolo!$B$4,DATE(Calcolo!$B$4,1,1)+36,"")</f>
        <v>45694</v>
      </c>
      <c r="C38" s="17" t="n">
        <f aca="false">IF(B38="","",Calcolo!$B$5+SUMIFS(Calcolo!$C$16:$C$515,Calcolo!$A$16:$A$515,"&gt;="&amp;DATE(Calcolo!$B$4,1,1),Calcolo!$A$16:$A$515,"&lt;="&amp;B38))</f>
        <v>1500</v>
      </c>
      <c r="D38" s="17" t="n">
        <f aca="false">IF(B38="",0,IF(Calcolo!$B$7="SI",MAX(0,C38),C38))</f>
        <v>1500</v>
      </c>
    </row>
    <row r="39" customFormat="false" ht="15" hidden="false" customHeight="false" outlineLevel="0" collapsed="false">
      <c r="A39" s="15" t="n">
        <v>38</v>
      </c>
      <c r="B39" s="16" t="n">
        <f aca="false">IF(YEAR(DATE(Calcolo!$B$4,1,1)+37)=Calcolo!$B$4,DATE(Calcolo!$B$4,1,1)+37,"")</f>
        <v>45695</v>
      </c>
      <c r="C39" s="17" t="n">
        <f aca="false">IF(B39="","",Calcolo!$B$5+SUMIFS(Calcolo!$C$16:$C$515,Calcolo!$A$16:$A$515,"&gt;="&amp;DATE(Calcolo!$B$4,1,1),Calcolo!$A$16:$A$515,"&lt;="&amp;B39))</f>
        <v>1500</v>
      </c>
      <c r="D39" s="17" t="n">
        <f aca="false">IF(B39="",0,IF(Calcolo!$B$7="SI",MAX(0,C39),C39))</f>
        <v>1500</v>
      </c>
    </row>
    <row r="40" customFormat="false" ht="15" hidden="false" customHeight="false" outlineLevel="0" collapsed="false">
      <c r="A40" s="15" t="n">
        <v>39</v>
      </c>
      <c r="B40" s="16" t="n">
        <f aca="false">IF(YEAR(DATE(Calcolo!$B$4,1,1)+38)=Calcolo!$B$4,DATE(Calcolo!$B$4,1,1)+38,"")</f>
        <v>45696</v>
      </c>
      <c r="C40" s="17" t="n">
        <f aca="false">IF(B40="","",Calcolo!$B$5+SUMIFS(Calcolo!$C$16:$C$515,Calcolo!$A$16:$A$515,"&gt;="&amp;DATE(Calcolo!$B$4,1,1),Calcolo!$A$16:$A$515,"&lt;="&amp;B40))</f>
        <v>1500</v>
      </c>
      <c r="D40" s="17" t="n">
        <f aca="false">IF(B40="",0,IF(Calcolo!$B$7="SI",MAX(0,C40),C40))</f>
        <v>1500</v>
      </c>
    </row>
    <row r="41" customFormat="false" ht="15" hidden="false" customHeight="false" outlineLevel="0" collapsed="false">
      <c r="A41" s="15" t="n">
        <v>40</v>
      </c>
      <c r="B41" s="16" t="n">
        <f aca="false">IF(YEAR(DATE(Calcolo!$B$4,1,1)+39)=Calcolo!$B$4,DATE(Calcolo!$B$4,1,1)+39,"")</f>
        <v>45697</v>
      </c>
      <c r="C41" s="17" t="n">
        <f aca="false">IF(B41="","",Calcolo!$B$5+SUMIFS(Calcolo!$C$16:$C$515,Calcolo!$A$16:$A$515,"&gt;="&amp;DATE(Calcolo!$B$4,1,1),Calcolo!$A$16:$A$515,"&lt;="&amp;B41))</f>
        <v>1500</v>
      </c>
      <c r="D41" s="17" t="n">
        <f aca="false">IF(B41="",0,IF(Calcolo!$B$7="SI",MAX(0,C41),C41))</f>
        <v>1500</v>
      </c>
    </row>
    <row r="42" customFormat="false" ht="15" hidden="false" customHeight="false" outlineLevel="0" collapsed="false">
      <c r="A42" s="15" t="n">
        <v>41</v>
      </c>
      <c r="B42" s="16" t="n">
        <f aca="false">IF(YEAR(DATE(Calcolo!$B$4,1,1)+40)=Calcolo!$B$4,DATE(Calcolo!$B$4,1,1)+40,"")</f>
        <v>45698</v>
      </c>
      <c r="C42" s="17" t="n">
        <f aca="false">IF(B42="","",Calcolo!$B$5+SUMIFS(Calcolo!$C$16:$C$515,Calcolo!$A$16:$A$515,"&gt;="&amp;DATE(Calcolo!$B$4,1,1),Calcolo!$A$16:$A$515,"&lt;="&amp;B42))</f>
        <v>1500</v>
      </c>
      <c r="D42" s="17" t="n">
        <f aca="false">IF(B42="",0,IF(Calcolo!$B$7="SI",MAX(0,C42),C42))</f>
        <v>1500</v>
      </c>
    </row>
    <row r="43" customFormat="false" ht="15" hidden="false" customHeight="false" outlineLevel="0" collapsed="false">
      <c r="A43" s="15" t="n">
        <v>42</v>
      </c>
      <c r="B43" s="16" t="n">
        <f aca="false">IF(YEAR(DATE(Calcolo!$B$4,1,1)+41)=Calcolo!$B$4,DATE(Calcolo!$B$4,1,1)+41,"")</f>
        <v>45699</v>
      </c>
      <c r="C43" s="17" t="n">
        <f aca="false">IF(B43="","",Calcolo!$B$5+SUMIFS(Calcolo!$C$16:$C$515,Calcolo!$A$16:$A$515,"&gt;="&amp;DATE(Calcolo!$B$4,1,1),Calcolo!$A$16:$A$515,"&lt;="&amp;B43))</f>
        <v>1500</v>
      </c>
      <c r="D43" s="17" t="n">
        <f aca="false">IF(B43="",0,IF(Calcolo!$B$7="SI",MAX(0,C43),C43))</f>
        <v>1500</v>
      </c>
    </row>
    <row r="44" customFormat="false" ht="15" hidden="false" customHeight="false" outlineLevel="0" collapsed="false">
      <c r="A44" s="15" t="n">
        <v>43</v>
      </c>
      <c r="B44" s="16" t="n">
        <f aca="false">IF(YEAR(DATE(Calcolo!$B$4,1,1)+42)=Calcolo!$B$4,DATE(Calcolo!$B$4,1,1)+42,"")</f>
        <v>45700</v>
      </c>
      <c r="C44" s="17" t="n">
        <f aca="false">IF(B44="","",Calcolo!$B$5+SUMIFS(Calcolo!$C$16:$C$515,Calcolo!$A$16:$A$515,"&gt;="&amp;DATE(Calcolo!$B$4,1,1),Calcolo!$A$16:$A$515,"&lt;="&amp;B44))</f>
        <v>1500</v>
      </c>
      <c r="D44" s="17" t="n">
        <f aca="false">IF(B44="",0,IF(Calcolo!$B$7="SI",MAX(0,C44),C44))</f>
        <v>1500</v>
      </c>
    </row>
    <row r="45" customFormat="false" ht="15" hidden="false" customHeight="false" outlineLevel="0" collapsed="false">
      <c r="A45" s="15" t="n">
        <v>44</v>
      </c>
      <c r="B45" s="16" t="n">
        <f aca="false">IF(YEAR(DATE(Calcolo!$B$4,1,1)+43)=Calcolo!$B$4,DATE(Calcolo!$B$4,1,1)+43,"")</f>
        <v>45701</v>
      </c>
      <c r="C45" s="17" t="n">
        <f aca="false">IF(B45="","",Calcolo!$B$5+SUMIFS(Calcolo!$C$16:$C$515,Calcolo!$A$16:$A$515,"&gt;="&amp;DATE(Calcolo!$B$4,1,1),Calcolo!$A$16:$A$515,"&lt;="&amp;B45))</f>
        <v>1500</v>
      </c>
      <c r="D45" s="17" t="n">
        <f aca="false">IF(B45="",0,IF(Calcolo!$B$7="SI",MAX(0,C45),C45))</f>
        <v>1500</v>
      </c>
    </row>
    <row r="46" customFormat="false" ht="15" hidden="false" customHeight="false" outlineLevel="0" collapsed="false">
      <c r="A46" s="15" t="n">
        <v>45</v>
      </c>
      <c r="B46" s="16" t="n">
        <f aca="false">IF(YEAR(DATE(Calcolo!$B$4,1,1)+44)=Calcolo!$B$4,DATE(Calcolo!$B$4,1,1)+44,"")</f>
        <v>45702</v>
      </c>
      <c r="C46" s="17" t="n">
        <f aca="false">IF(B46="","",Calcolo!$B$5+SUMIFS(Calcolo!$C$16:$C$515,Calcolo!$A$16:$A$515,"&gt;="&amp;DATE(Calcolo!$B$4,1,1),Calcolo!$A$16:$A$515,"&lt;="&amp;B46))</f>
        <v>1500</v>
      </c>
      <c r="D46" s="17" t="n">
        <f aca="false">IF(B46="",0,IF(Calcolo!$B$7="SI",MAX(0,C46),C46))</f>
        <v>1500</v>
      </c>
    </row>
    <row r="47" customFormat="false" ht="15" hidden="false" customHeight="false" outlineLevel="0" collapsed="false">
      <c r="A47" s="15" t="n">
        <v>46</v>
      </c>
      <c r="B47" s="16" t="n">
        <f aca="false">IF(YEAR(DATE(Calcolo!$B$4,1,1)+45)=Calcolo!$B$4,DATE(Calcolo!$B$4,1,1)+45,"")</f>
        <v>45703</v>
      </c>
      <c r="C47" s="17" t="n">
        <f aca="false">IF(B47="","",Calcolo!$B$5+SUMIFS(Calcolo!$C$16:$C$515,Calcolo!$A$16:$A$515,"&gt;="&amp;DATE(Calcolo!$B$4,1,1),Calcolo!$A$16:$A$515,"&lt;="&amp;B47))</f>
        <v>1500</v>
      </c>
      <c r="D47" s="17" t="n">
        <f aca="false">IF(B47="",0,IF(Calcolo!$B$7="SI",MAX(0,C47),C47))</f>
        <v>1500</v>
      </c>
    </row>
    <row r="48" customFormat="false" ht="15" hidden="false" customHeight="false" outlineLevel="0" collapsed="false">
      <c r="A48" s="15" t="n">
        <v>47</v>
      </c>
      <c r="B48" s="16" t="n">
        <f aca="false">IF(YEAR(DATE(Calcolo!$B$4,1,1)+46)=Calcolo!$B$4,DATE(Calcolo!$B$4,1,1)+46,"")</f>
        <v>45704</v>
      </c>
      <c r="C48" s="17" t="n">
        <f aca="false">IF(B48="","",Calcolo!$B$5+SUMIFS(Calcolo!$C$16:$C$515,Calcolo!$A$16:$A$515,"&gt;="&amp;DATE(Calcolo!$B$4,1,1),Calcolo!$A$16:$A$515,"&lt;="&amp;B48))</f>
        <v>1500</v>
      </c>
      <c r="D48" s="17" t="n">
        <f aca="false">IF(B48="",0,IF(Calcolo!$B$7="SI",MAX(0,C48),C48))</f>
        <v>1500</v>
      </c>
    </row>
    <row r="49" customFormat="false" ht="15" hidden="false" customHeight="false" outlineLevel="0" collapsed="false">
      <c r="A49" s="15" t="n">
        <v>48</v>
      </c>
      <c r="B49" s="16" t="n">
        <f aca="false">IF(YEAR(DATE(Calcolo!$B$4,1,1)+47)=Calcolo!$B$4,DATE(Calcolo!$B$4,1,1)+47,"")</f>
        <v>45705</v>
      </c>
      <c r="C49" s="17" t="n">
        <f aca="false">IF(B49="","",Calcolo!$B$5+SUMIFS(Calcolo!$C$16:$C$515,Calcolo!$A$16:$A$515,"&gt;="&amp;DATE(Calcolo!$B$4,1,1),Calcolo!$A$16:$A$515,"&lt;="&amp;B49))</f>
        <v>1500</v>
      </c>
      <c r="D49" s="17" t="n">
        <f aca="false">IF(B49="",0,IF(Calcolo!$B$7="SI",MAX(0,C49),C49))</f>
        <v>1500</v>
      </c>
    </row>
    <row r="50" customFormat="false" ht="15" hidden="false" customHeight="false" outlineLevel="0" collapsed="false">
      <c r="A50" s="15" t="n">
        <v>49</v>
      </c>
      <c r="B50" s="16" t="n">
        <f aca="false">IF(YEAR(DATE(Calcolo!$B$4,1,1)+48)=Calcolo!$B$4,DATE(Calcolo!$B$4,1,1)+48,"")</f>
        <v>45706</v>
      </c>
      <c r="C50" s="17" t="n">
        <f aca="false">IF(B50="","",Calcolo!$B$5+SUMIFS(Calcolo!$C$16:$C$515,Calcolo!$A$16:$A$515,"&gt;="&amp;DATE(Calcolo!$B$4,1,1),Calcolo!$A$16:$A$515,"&lt;="&amp;B50))</f>
        <v>1500</v>
      </c>
      <c r="D50" s="17" t="n">
        <f aca="false">IF(B50="",0,IF(Calcolo!$B$7="SI",MAX(0,C50),C50))</f>
        <v>1500</v>
      </c>
    </row>
    <row r="51" customFormat="false" ht="15" hidden="false" customHeight="false" outlineLevel="0" collapsed="false">
      <c r="A51" s="15" t="n">
        <v>50</v>
      </c>
      <c r="B51" s="16" t="n">
        <f aca="false">IF(YEAR(DATE(Calcolo!$B$4,1,1)+49)=Calcolo!$B$4,DATE(Calcolo!$B$4,1,1)+49,"")</f>
        <v>45707</v>
      </c>
      <c r="C51" s="17" t="n">
        <f aca="false">IF(B51="","",Calcolo!$B$5+SUMIFS(Calcolo!$C$16:$C$515,Calcolo!$A$16:$A$515,"&gt;="&amp;DATE(Calcolo!$B$4,1,1),Calcolo!$A$16:$A$515,"&lt;="&amp;B51))</f>
        <v>1500</v>
      </c>
      <c r="D51" s="17" t="n">
        <f aca="false">IF(B51="",0,IF(Calcolo!$B$7="SI",MAX(0,C51),C51))</f>
        <v>1500</v>
      </c>
    </row>
    <row r="52" customFormat="false" ht="15" hidden="false" customHeight="false" outlineLevel="0" collapsed="false">
      <c r="A52" s="15" t="n">
        <v>51</v>
      </c>
      <c r="B52" s="16" t="n">
        <f aca="false">IF(YEAR(DATE(Calcolo!$B$4,1,1)+50)=Calcolo!$B$4,DATE(Calcolo!$B$4,1,1)+50,"")</f>
        <v>45708</v>
      </c>
      <c r="C52" s="17" t="n">
        <f aca="false">IF(B52="","",Calcolo!$B$5+SUMIFS(Calcolo!$C$16:$C$515,Calcolo!$A$16:$A$515,"&gt;="&amp;DATE(Calcolo!$B$4,1,1),Calcolo!$A$16:$A$515,"&lt;="&amp;B52))</f>
        <v>1500</v>
      </c>
      <c r="D52" s="17" t="n">
        <f aca="false">IF(B52="",0,IF(Calcolo!$B$7="SI",MAX(0,C52),C52))</f>
        <v>1500</v>
      </c>
    </row>
    <row r="53" customFormat="false" ht="15" hidden="false" customHeight="false" outlineLevel="0" collapsed="false">
      <c r="A53" s="15" t="n">
        <v>52</v>
      </c>
      <c r="B53" s="16" t="n">
        <f aca="false">IF(YEAR(DATE(Calcolo!$B$4,1,1)+51)=Calcolo!$B$4,DATE(Calcolo!$B$4,1,1)+51,"")</f>
        <v>45709</v>
      </c>
      <c r="C53" s="17" t="n">
        <f aca="false">IF(B53="","",Calcolo!$B$5+SUMIFS(Calcolo!$C$16:$C$515,Calcolo!$A$16:$A$515,"&gt;="&amp;DATE(Calcolo!$B$4,1,1),Calcolo!$A$16:$A$515,"&lt;="&amp;B53))</f>
        <v>1500</v>
      </c>
      <c r="D53" s="17" t="n">
        <f aca="false">IF(B53="",0,IF(Calcolo!$B$7="SI",MAX(0,C53),C53))</f>
        <v>1500</v>
      </c>
    </row>
    <row r="54" customFormat="false" ht="15" hidden="false" customHeight="false" outlineLevel="0" collapsed="false">
      <c r="A54" s="15" t="n">
        <v>53</v>
      </c>
      <c r="B54" s="16" t="n">
        <f aca="false">IF(YEAR(DATE(Calcolo!$B$4,1,1)+52)=Calcolo!$B$4,DATE(Calcolo!$B$4,1,1)+52,"")</f>
        <v>45710</v>
      </c>
      <c r="C54" s="17" t="n">
        <f aca="false">IF(B54="","",Calcolo!$B$5+SUMIFS(Calcolo!$C$16:$C$515,Calcolo!$A$16:$A$515,"&gt;="&amp;DATE(Calcolo!$B$4,1,1),Calcolo!$A$16:$A$515,"&lt;="&amp;B54))</f>
        <v>1500</v>
      </c>
      <c r="D54" s="17" t="n">
        <f aca="false">IF(B54="",0,IF(Calcolo!$B$7="SI",MAX(0,C54),C54))</f>
        <v>1500</v>
      </c>
    </row>
    <row r="55" customFormat="false" ht="15" hidden="false" customHeight="false" outlineLevel="0" collapsed="false">
      <c r="A55" s="15" t="n">
        <v>54</v>
      </c>
      <c r="B55" s="16" t="n">
        <f aca="false">IF(YEAR(DATE(Calcolo!$B$4,1,1)+53)=Calcolo!$B$4,DATE(Calcolo!$B$4,1,1)+53,"")</f>
        <v>45711</v>
      </c>
      <c r="C55" s="17" t="n">
        <f aca="false">IF(B55="","",Calcolo!$B$5+SUMIFS(Calcolo!$C$16:$C$515,Calcolo!$A$16:$A$515,"&gt;="&amp;DATE(Calcolo!$B$4,1,1),Calcolo!$A$16:$A$515,"&lt;="&amp;B55))</f>
        <v>1500</v>
      </c>
      <c r="D55" s="17" t="n">
        <f aca="false">IF(B55="",0,IF(Calcolo!$B$7="SI",MAX(0,C55),C55))</f>
        <v>1500</v>
      </c>
    </row>
    <row r="56" customFormat="false" ht="15" hidden="false" customHeight="false" outlineLevel="0" collapsed="false">
      <c r="A56" s="15" t="n">
        <v>55</v>
      </c>
      <c r="B56" s="16" t="n">
        <f aca="false">IF(YEAR(DATE(Calcolo!$B$4,1,1)+54)=Calcolo!$B$4,DATE(Calcolo!$B$4,1,1)+54,"")</f>
        <v>45712</v>
      </c>
      <c r="C56" s="17" t="n">
        <f aca="false">IF(B56="","",Calcolo!$B$5+SUMIFS(Calcolo!$C$16:$C$515,Calcolo!$A$16:$A$515,"&gt;="&amp;DATE(Calcolo!$B$4,1,1),Calcolo!$A$16:$A$515,"&lt;="&amp;B56))</f>
        <v>1500</v>
      </c>
      <c r="D56" s="17" t="n">
        <f aca="false">IF(B56="",0,IF(Calcolo!$B$7="SI",MAX(0,C56),C56))</f>
        <v>1500</v>
      </c>
    </row>
    <row r="57" customFormat="false" ht="15" hidden="false" customHeight="false" outlineLevel="0" collapsed="false">
      <c r="A57" s="15" t="n">
        <v>56</v>
      </c>
      <c r="B57" s="16" t="n">
        <f aca="false">IF(YEAR(DATE(Calcolo!$B$4,1,1)+55)=Calcolo!$B$4,DATE(Calcolo!$B$4,1,1)+55,"")</f>
        <v>45713</v>
      </c>
      <c r="C57" s="17" t="n">
        <f aca="false">IF(B57="","",Calcolo!$B$5+SUMIFS(Calcolo!$C$16:$C$515,Calcolo!$A$16:$A$515,"&gt;="&amp;DATE(Calcolo!$B$4,1,1),Calcolo!$A$16:$A$515,"&lt;="&amp;B57))</f>
        <v>1500</v>
      </c>
      <c r="D57" s="17" t="n">
        <f aca="false">IF(B57="",0,IF(Calcolo!$B$7="SI",MAX(0,C57),C57))</f>
        <v>1500</v>
      </c>
    </row>
    <row r="58" customFormat="false" ht="15" hidden="false" customHeight="false" outlineLevel="0" collapsed="false">
      <c r="A58" s="15" t="n">
        <v>57</v>
      </c>
      <c r="B58" s="16" t="n">
        <f aca="false">IF(YEAR(DATE(Calcolo!$B$4,1,1)+56)=Calcolo!$B$4,DATE(Calcolo!$B$4,1,1)+56,"")</f>
        <v>45714</v>
      </c>
      <c r="C58" s="17" t="n">
        <f aca="false">IF(B58="","",Calcolo!$B$5+SUMIFS(Calcolo!$C$16:$C$515,Calcolo!$A$16:$A$515,"&gt;="&amp;DATE(Calcolo!$B$4,1,1),Calcolo!$A$16:$A$515,"&lt;="&amp;B58))</f>
        <v>1500</v>
      </c>
      <c r="D58" s="17" t="n">
        <f aca="false">IF(B58="",0,IF(Calcolo!$B$7="SI",MAX(0,C58),C58))</f>
        <v>1500</v>
      </c>
    </row>
    <row r="59" customFormat="false" ht="15" hidden="false" customHeight="false" outlineLevel="0" collapsed="false">
      <c r="A59" s="15" t="n">
        <v>58</v>
      </c>
      <c r="B59" s="16" t="n">
        <f aca="false">IF(YEAR(DATE(Calcolo!$B$4,1,1)+57)=Calcolo!$B$4,DATE(Calcolo!$B$4,1,1)+57,"")</f>
        <v>45715</v>
      </c>
      <c r="C59" s="17" t="n">
        <f aca="false">IF(B59="","",Calcolo!$B$5+SUMIFS(Calcolo!$C$16:$C$515,Calcolo!$A$16:$A$515,"&gt;="&amp;DATE(Calcolo!$B$4,1,1),Calcolo!$A$16:$A$515,"&lt;="&amp;B59))</f>
        <v>1500</v>
      </c>
      <c r="D59" s="17" t="n">
        <f aca="false">IF(B59="",0,IF(Calcolo!$B$7="SI",MAX(0,C59),C59))</f>
        <v>1500</v>
      </c>
    </row>
    <row r="60" customFormat="false" ht="15" hidden="false" customHeight="false" outlineLevel="0" collapsed="false">
      <c r="A60" s="15" t="n">
        <v>59</v>
      </c>
      <c r="B60" s="16" t="n">
        <f aca="false">IF(YEAR(DATE(Calcolo!$B$4,1,1)+58)=Calcolo!$B$4,DATE(Calcolo!$B$4,1,1)+58,"")</f>
        <v>45716</v>
      </c>
      <c r="C60" s="17" t="n">
        <f aca="false">IF(B60="","",Calcolo!$B$5+SUMIFS(Calcolo!$C$16:$C$515,Calcolo!$A$16:$A$515,"&gt;="&amp;DATE(Calcolo!$B$4,1,1),Calcolo!$A$16:$A$515,"&lt;="&amp;B60))</f>
        <v>1500</v>
      </c>
      <c r="D60" s="17" t="n">
        <f aca="false">IF(B60="",0,IF(Calcolo!$B$7="SI",MAX(0,C60),C60))</f>
        <v>1500</v>
      </c>
    </row>
    <row r="61" customFormat="false" ht="15" hidden="false" customHeight="false" outlineLevel="0" collapsed="false">
      <c r="A61" s="15" t="n">
        <v>60</v>
      </c>
      <c r="B61" s="16" t="n">
        <f aca="false">IF(YEAR(DATE(Calcolo!$B$4,1,1)+59)=Calcolo!$B$4,DATE(Calcolo!$B$4,1,1)+59,"")</f>
        <v>45717</v>
      </c>
      <c r="C61" s="17" t="n">
        <f aca="false">IF(B61="","",Calcolo!$B$5+SUMIFS(Calcolo!$C$16:$C$515,Calcolo!$A$16:$A$515,"&gt;="&amp;DATE(Calcolo!$B$4,1,1),Calcolo!$A$16:$A$515,"&lt;="&amp;B61))</f>
        <v>1500</v>
      </c>
      <c r="D61" s="17" t="n">
        <f aca="false">IF(B61="",0,IF(Calcolo!$B$7="SI",MAX(0,C61),C61))</f>
        <v>1500</v>
      </c>
    </row>
    <row r="62" customFormat="false" ht="15" hidden="false" customHeight="false" outlineLevel="0" collapsed="false">
      <c r="A62" s="15" t="n">
        <v>61</v>
      </c>
      <c r="B62" s="16" t="n">
        <f aca="false">IF(YEAR(DATE(Calcolo!$B$4,1,1)+60)=Calcolo!$B$4,DATE(Calcolo!$B$4,1,1)+60,"")</f>
        <v>45718</v>
      </c>
      <c r="C62" s="17" t="n">
        <f aca="false">IF(B62="","",Calcolo!$B$5+SUMIFS(Calcolo!$C$16:$C$515,Calcolo!$A$16:$A$515,"&gt;="&amp;DATE(Calcolo!$B$4,1,1),Calcolo!$A$16:$A$515,"&lt;="&amp;B62))</f>
        <v>1500</v>
      </c>
      <c r="D62" s="17" t="n">
        <f aca="false">IF(B62="",0,IF(Calcolo!$B$7="SI",MAX(0,C62),C62))</f>
        <v>1500</v>
      </c>
    </row>
    <row r="63" customFormat="false" ht="15" hidden="false" customHeight="false" outlineLevel="0" collapsed="false">
      <c r="A63" s="15" t="n">
        <v>62</v>
      </c>
      <c r="B63" s="16" t="n">
        <f aca="false">IF(YEAR(DATE(Calcolo!$B$4,1,1)+61)=Calcolo!$B$4,DATE(Calcolo!$B$4,1,1)+61,"")</f>
        <v>45719</v>
      </c>
      <c r="C63" s="17" t="n">
        <f aca="false">IF(B63="","",Calcolo!$B$5+SUMIFS(Calcolo!$C$16:$C$515,Calcolo!$A$16:$A$515,"&gt;="&amp;DATE(Calcolo!$B$4,1,1),Calcolo!$A$16:$A$515,"&lt;="&amp;B63))</f>
        <v>1500</v>
      </c>
      <c r="D63" s="17" t="n">
        <f aca="false">IF(B63="",0,IF(Calcolo!$B$7="SI",MAX(0,C63),C63))</f>
        <v>1500</v>
      </c>
    </row>
    <row r="64" customFormat="false" ht="15" hidden="false" customHeight="false" outlineLevel="0" collapsed="false">
      <c r="A64" s="15" t="n">
        <v>63</v>
      </c>
      <c r="B64" s="16" t="n">
        <f aca="false">IF(YEAR(DATE(Calcolo!$B$4,1,1)+62)=Calcolo!$B$4,DATE(Calcolo!$B$4,1,1)+62,"")</f>
        <v>45720</v>
      </c>
      <c r="C64" s="17" t="n">
        <f aca="false">IF(B64="","",Calcolo!$B$5+SUMIFS(Calcolo!$C$16:$C$515,Calcolo!$A$16:$A$515,"&gt;="&amp;DATE(Calcolo!$B$4,1,1),Calcolo!$A$16:$A$515,"&lt;="&amp;B64))</f>
        <v>1500</v>
      </c>
      <c r="D64" s="17" t="n">
        <f aca="false">IF(B64="",0,IF(Calcolo!$B$7="SI",MAX(0,C64),C64))</f>
        <v>1500</v>
      </c>
    </row>
    <row r="65" customFormat="false" ht="15" hidden="false" customHeight="false" outlineLevel="0" collapsed="false">
      <c r="A65" s="15" t="n">
        <v>64</v>
      </c>
      <c r="B65" s="16" t="n">
        <f aca="false">IF(YEAR(DATE(Calcolo!$B$4,1,1)+63)=Calcolo!$B$4,DATE(Calcolo!$B$4,1,1)+63,"")</f>
        <v>45721</v>
      </c>
      <c r="C65" s="17" t="n">
        <f aca="false">IF(B65="","",Calcolo!$B$5+SUMIFS(Calcolo!$C$16:$C$515,Calcolo!$A$16:$A$515,"&gt;="&amp;DATE(Calcolo!$B$4,1,1),Calcolo!$A$16:$A$515,"&lt;="&amp;B65))</f>
        <v>1500</v>
      </c>
      <c r="D65" s="17" t="n">
        <f aca="false">IF(B65="",0,IF(Calcolo!$B$7="SI",MAX(0,C65),C65))</f>
        <v>1500</v>
      </c>
    </row>
    <row r="66" customFormat="false" ht="15" hidden="false" customHeight="false" outlineLevel="0" collapsed="false">
      <c r="A66" s="15" t="n">
        <v>65</v>
      </c>
      <c r="B66" s="16" t="n">
        <f aca="false">IF(YEAR(DATE(Calcolo!$B$4,1,1)+64)=Calcolo!$B$4,DATE(Calcolo!$B$4,1,1)+64,"")</f>
        <v>45722</v>
      </c>
      <c r="C66" s="17" t="n">
        <f aca="false">IF(B66="","",Calcolo!$B$5+SUMIFS(Calcolo!$C$16:$C$515,Calcolo!$A$16:$A$515,"&gt;="&amp;DATE(Calcolo!$B$4,1,1),Calcolo!$A$16:$A$515,"&lt;="&amp;B66))</f>
        <v>1500</v>
      </c>
      <c r="D66" s="17" t="n">
        <f aca="false">IF(B66="",0,IF(Calcolo!$B$7="SI",MAX(0,C66),C66))</f>
        <v>1500</v>
      </c>
    </row>
    <row r="67" customFormat="false" ht="15" hidden="false" customHeight="false" outlineLevel="0" collapsed="false">
      <c r="A67" s="15" t="n">
        <v>66</v>
      </c>
      <c r="B67" s="16" t="n">
        <f aca="false">IF(YEAR(DATE(Calcolo!$B$4,1,1)+65)=Calcolo!$B$4,DATE(Calcolo!$B$4,1,1)+65,"")</f>
        <v>45723</v>
      </c>
      <c r="C67" s="17" t="n">
        <f aca="false">IF(B67="","",Calcolo!$B$5+SUMIFS(Calcolo!$C$16:$C$515,Calcolo!$A$16:$A$515,"&gt;="&amp;DATE(Calcolo!$B$4,1,1),Calcolo!$A$16:$A$515,"&lt;="&amp;B67))</f>
        <v>1500</v>
      </c>
      <c r="D67" s="17" t="n">
        <f aca="false">IF(B67="",0,IF(Calcolo!$B$7="SI",MAX(0,C67),C67))</f>
        <v>1500</v>
      </c>
    </row>
    <row r="68" customFormat="false" ht="15" hidden="false" customHeight="false" outlineLevel="0" collapsed="false">
      <c r="A68" s="15" t="n">
        <v>67</v>
      </c>
      <c r="B68" s="16" t="n">
        <f aca="false">IF(YEAR(DATE(Calcolo!$B$4,1,1)+66)=Calcolo!$B$4,DATE(Calcolo!$B$4,1,1)+66,"")</f>
        <v>45724</v>
      </c>
      <c r="C68" s="17" t="n">
        <f aca="false">IF(B68="","",Calcolo!$B$5+SUMIFS(Calcolo!$C$16:$C$515,Calcolo!$A$16:$A$515,"&gt;="&amp;DATE(Calcolo!$B$4,1,1),Calcolo!$A$16:$A$515,"&lt;="&amp;B68))</f>
        <v>1500</v>
      </c>
      <c r="D68" s="17" t="n">
        <f aca="false">IF(B68="",0,IF(Calcolo!$B$7="SI",MAX(0,C68),C68))</f>
        <v>1500</v>
      </c>
    </row>
    <row r="69" customFormat="false" ht="15" hidden="false" customHeight="false" outlineLevel="0" collapsed="false">
      <c r="A69" s="15" t="n">
        <v>68</v>
      </c>
      <c r="B69" s="16" t="n">
        <f aca="false">IF(YEAR(DATE(Calcolo!$B$4,1,1)+67)=Calcolo!$B$4,DATE(Calcolo!$B$4,1,1)+67,"")</f>
        <v>45725</v>
      </c>
      <c r="C69" s="17" t="n">
        <f aca="false">IF(B69="","",Calcolo!$B$5+SUMIFS(Calcolo!$C$16:$C$515,Calcolo!$A$16:$A$515,"&gt;="&amp;DATE(Calcolo!$B$4,1,1),Calcolo!$A$16:$A$515,"&lt;="&amp;B69))</f>
        <v>1500</v>
      </c>
      <c r="D69" s="17" t="n">
        <f aca="false">IF(B69="",0,IF(Calcolo!$B$7="SI",MAX(0,C69),C69))</f>
        <v>1500</v>
      </c>
    </row>
    <row r="70" customFormat="false" ht="15" hidden="false" customHeight="false" outlineLevel="0" collapsed="false">
      <c r="A70" s="15" t="n">
        <v>69</v>
      </c>
      <c r="B70" s="16" t="n">
        <f aca="false">IF(YEAR(DATE(Calcolo!$B$4,1,1)+68)=Calcolo!$B$4,DATE(Calcolo!$B$4,1,1)+68,"")</f>
        <v>45726</v>
      </c>
      <c r="C70" s="17" t="n">
        <f aca="false">IF(B70="","",Calcolo!$B$5+SUMIFS(Calcolo!$C$16:$C$515,Calcolo!$A$16:$A$515,"&gt;="&amp;DATE(Calcolo!$B$4,1,1),Calcolo!$A$16:$A$515,"&lt;="&amp;B70))</f>
        <v>2700</v>
      </c>
      <c r="D70" s="17" t="n">
        <f aca="false">IF(B70="",0,IF(Calcolo!$B$7="SI",MAX(0,C70),C70))</f>
        <v>2700</v>
      </c>
    </row>
    <row r="71" customFormat="false" ht="15" hidden="false" customHeight="false" outlineLevel="0" collapsed="false">
      <c r="A71" s="15" t="n">
        <v>70</v>
      </c>
      <c r="B71" s="16" t="n">
        <f aca="false">IF(YEAR(DATE(Calcolo!$B$4,1,1)+69)=Calcolo!$B$4,DATE(Calcolo!$B$4,1,1)+69,"")</f>
        <v>45727</v>
      </c>
      <c r="C71" s="17" t="n">
        <f aca="false">IF(B71="","",Calcolo!$B$5+SUMIFS(Calcolo!$C$16:$C$515,Calcolo!$A$16:$A$515,"&gt;="&amp;DATE(Calcolo!$B$4,1,1),Calcolo!$A$16:$A$515,"&lt;="&amp;B71))</f>
        <v>2700</v>
      </c>
      <c r="D71" s="17" t="n">
        <f aca="false">IF(B71="",0,IF(Calcolo!$B$7="SI",MAX(0,C71),C71))</f>
        <v>2700</v>
      </c>
    </row>
    <row r="72" customFormat="false" ht="15" hidden="false" customHeight="false" outlineLevel="0" collapsed="false">
      <c r="A72" s="15" t="n">
        <v>71</v>
      </c>
      <c r="B72" s="16" t="n">
        <f aca="false">IF(YEAR(DATE(Calcolo!$B$4,1,1)+70)=Calcolo!$B$4,DATE(Calcolo!$B$4,1,1)+70,"")</f>
        <v>45728</v>
      </c>
      <c r="C72" s="17" t="n">
        <f aca="false">IF(B72="","",Calcolo!$B$5+SUMIFS(Calcolo!$C$16:$C$515,Calcolo!$A$16:$A$515,"&gt;="&amp;DATE(Calcolo!$B$4,1,1),Calcolo!$A$16:$A$515,"&lt;="&amp;B72))</f>
        <v>2700</v>
      </c>
      <c r="D72" s="17" t="n">
        <f aca="false">IF(B72="",0,IF(Calcolo!$B$7="SI",MAX(0,C72),C72))</f>
        <v>2700</v>
      </c>
    </row>
    <row r="73" customFormat="false" ht="15" hidden="false" customHeight="false" outlineLevel="0" collapsed="false">
      <c r="A73" s="15" t="n">
        <v>72</v>
      </c>
      <c r="B73" s="16" t="n">
        <f aca="false">IF(YEAR(DATE(Calcolo!$B$4,1,1)+71)=Calcolo!$B$4,DATE(Calcolo!$B$4,1,1)+71,"")</f>
        <v>45729</v>
      </c>
      <c r="C73" s="17" t="n">
        <f aca="false">IF(B73="","",Calcolo!$B$5+SUMIFS(Calcolo!$C$16:$C$515,Calcolo!$A$16:$A$515,"&gt;="&amp;DATE(Calcolo!$B$4,1,1),Calcolo!$A$16:$A$515,"&lt;="&amp;B73))</f>
        <v>2700</v>
      </c>
      <c r="D73" s="17" t="n">
        <f aca="false">IF(B73="",0,IF(Calcolo!$B$7="SI",MAX(0,C73),C73))</f>
        <v>2700</v>
      </c>
    </row>
    <row r="74" customFormat="false" ht="15" hidden="false" customHeight="false" outlineLevel="0" collapsed="false">
      <c r="A74" s="15" t="n">
        <v>73</v>
      </c>
      <c r="B74" s="16" t="n">
        <f aca="false">IF(YEAR(DATE(Calcolo!$B$4,1,1)+72)=Calcolo!$B$4,DATE(Calcolo!$B$4,1,1)+72,"")</f>
        <v>45730</v>
      </c>
      <c r="C74" s="17" t="n">
        <f aca="false">IF(B74="","",Calcolo!$B$5+SUMIFS(Calcolo!$C$16:$C$515,Calcolo!$A$16:$A$515,"&gt;="&amp;DATE(Calcolo!$B$4,1,1),Calcolo!$A$16:$A$515,"&lt;="&amp;B74))</f>
        <v>2700</v>
      </c>
      <c r="D74" s="17" t="n">
        <f aca="false">IF(B74="",0,IF(Calcolo!$B$7="SI",MAX(0,C74),C74))</f>
        <v>2700</v>
      </c>
    </row>
    <row r="75" customFormat="false" ht="15" hidden="false" customHeight="false" outlineLevel="0" collapsed="false">
      <c r="A75" s="15" t="n">
        <v>74</v>
      </c>
      <c r="B75" s="16" t="n">
        <f aca="false">IF(YEAR(DATE(Calcolo!$B$4,1,1)+73)=Calcolo!$B$4,DATE(Calcolo!$B$4,1,1)+73,"")</f>
        <v>45731</v>
      </c>
      <c r="C75" s="17" t="n">
        <f aca="false">IF(B75="","",Calcolo!$B$5+SUMIFS(Calcolo!$C$16:$C$515,Calcolo!$A$16:$A$515,"&gt;="&amp;DATE(Calcolo!$B$4,1,1),Calcolo!$A$16:$A$515,"&lt;="&amp;B75))</f>
        <v>2700</v>
      </c>
      <c r="D75" s="17" t="n">
        <f aca="false">IF(B75="",0,IF(Calcolo!$B$7="SI",MAX(0,C75),C75))</f>
        <v>2700</v>
      </c>
    </row>
    <row r="76" customFormat="false" ht="15" hidden="false" customHeight="false" outlineLevel="0" collapsed="false">
      <c r="A76" s="15" t="n">
        <v>75</v>
      </c>
      <c r="B76" s="16" t="n">
        <f aca="false">IF(YEAR(DATE(Calcolo!$B$4,1,1)+74)=Calcolo!$B$4,DATE(Calcolo!$B$4,1,1)+74,"")</f>
        <v>45732</v>
      </c>
      <c r="C76" s="17" t="n">
        <f aca="false">IF(B76="","",Calcolo!$B$5+SUMIFS(Calcolo!$C$16:$C$515,Calcolo!$A$16:$A$515,"&gt;="&amp;DATE(Calcolo!$B$4,1,1),Calcolo!$A$16:$A$515,"&lt;="&amp;B76))</f>
        <v>2700</v>
      </c>
      <c r="D76" s="17" t="n">
        <f aca="false">IF(B76="",0,IF(Calcolo!$B$7="SI",MAX(0,C76),C76))</f>
        <v>2700</v>
      </c>
    </row>
    <row r="77" customFormat="false" ht="15" hidden="false" customHeight="false" outlineLevel="0" collapsed="false">
      <c r="A77" s="15" t="n">
        <v>76</v>
      </c>
      <c r="B77" s="16" t="n">
        <f aca="false">IF(YEAR(DATE(Calcolo!$B$4,1,1)+75)=Calcolo!$B$4,DATE(Calcolo!$B$4,1,1)+75,"")</f>
        <v>45733</v>
      </c>
      <c r="C77" s="17" t="n">
        <f aca="false">IF(B77="","",Calcolo!$B$5+SUMIFS(Calcolo!$C$16:$C$515,Calcolo!$A$16:$A$515,"&gt;="&amp;DATE(Calcolo!$B$4,1,1),Calcolo!$A$16:$A$515,"&lt;="&amp;B77))</f>
        <v>2700</v>
      </c>
      <c r="D77" s="17" t="n">
        <f aca="false">IF(B77="",0,IF(Calcolo!$B$7="SI",MAX(0,C77),C77))</f>
        <v>2700</v>
      </c>
    </row>
    <row r="78" customFormat="false" ht="15" hidden="false" customHeight="false" outlineLevel="0" collapsed="false">
      <c r="A78" s="15" t="n">
        <v>77</v>
      </c>
      <c r="B78" s="16" t="n">
        <f aca="false">IF(YEAR(DATE(Calcolo!$B$4,1,1)+76)=Calcolo!$B$4,DATE(Calcolo!$B$4,1,1)+76,"")</f>
        <v>45734</v>
      </c>
      <c r="C78" s="17" t="n">
        <f aca="false">IF(B78="","",Calcolo!$B$5+SUMIFS(Calcolo!$C$16:$C$515,Calcolo!$A$16:$A$515,"&gt;="&amp;DATE(Calcolo!$B$4,1,1),Calcolo!$A$16:$A$515,"&lt;="&amp;B78))</f>
        <v>2700</v>
      </c>
      <c r="D78" s="17" t="n">
        <f aca="false">IF(B78="",0,IF(Calcolo!$B$7="SI",MAX(0,C78),C78))</f>
        <v>2700</v>
      </c>
    </row>
    <row r="79" customFormat="false" ht="15" hidden="false" customHeight="false" outlineLevel="0" collapsed="false">
      <c r="A79" s="15" t="n">
        <v>78</v>
      </c>
      <c r="B79" s="16" t="n">
        <f aca="false">IF(YEAR(DATE(Calcolo!$B$4,1,1)+77)=Calcolo!$B$4,DATE(Calcolo!$B$4,1,1)+77,"")</f>
        <v>45735</v>
      </c>
      <c r="C79" s="17" t="n">
        <f aca="false">IF(B79="","",Calcolo!$B$5+SUMIFS(Calcolo!$C$16:$C$515,Calcolo!$A$16:$A$515,"&gt;="&amp;DATE(Calcolo!$B$4,1,1),Calcolo!$A$16:$A$515,"&lt;="&amp;B79))</f>
        <v>2700</v>
      </c>
      <c r="D79" s="17" t="n">
        <f aca="false">IF(B79="",0,IF(Calcolo!$B$7="SI",MAX(0,C79),C79))</f>
        <v>2700</v>
      </c>
    </row>
    <row r="80" customFormat="false" ht="15" hidden="false" customHeight="false" outlineLevel="0" collapsed="false">
      <c r="A80" s="15" t="n">
        <v>79</v>
      </c>
      <c r="B80" s="16" t="n">
        <f aca="false">IF(YEAR(DATE(Calcolo!$B$4,1,1)+78)=Calcolo!$B$4,DATE(Calcolo!$B$4,1,1)+78,"")</f>
        <v>45736</v>
      </c>
      <c r="C80" s="17" t="n">
        <f aca="false">IF(B80="","",Calcolo!$B$5+SUMIFS(Calcolo!$C$16:$C$515,Calcolo!$A$16:$A$515,"&gt;="&amp;DATE(Calcolo!$B$4,1,1),Calcolo!$A$16:$A$515,"&lt;="&amp;B80))</f>
        <v>2700</v>
      </c>
      <c r="D80" s="17" t="n">
        <f aca="false">IF(B80="",0,IF(Calcolo!$B$7="SI",MAX(0,C80),C80))</f>
        <v>2700</v>
      </c>
    </row>
    <row r="81" customFormat="false" ht="15" hidden="false" customHeight="false" outlineLevel="0" collapsed="false">
      <c r="A81" s="15" t="n">
        <v>80</v>
      </c>
      <c r="B81" s="16" t="n">
        <f aca="false">IF(YEAR(DATE(Calcolo!$B$4,1,1)+79)=Calcolo!$B$4,DATE(Calcolo!$B$4,1,1)+79,"")</f>
        <v>45737</v>
      </c>
      <c r="C81" s="17" t="n">
        <f aca="false">IF(B81="","",Calcolo!$B$5+SUMIFS(Calcolo!$C$16:$C$515,Calcolo!$A$16:$A$515,"&gt;="&amp;DATE(Calcolo!$B$4,1,1),Calcolo!$A$16:$A$515,"&lt;="&amp;B81))</f>
        <v>2700</v>
      </c>
      <c r="D81" s="17" t="n">
        <f aca="false">IF(B81="",0,IF(Calcolo!$B$7="SI",MAX(0,C81),C81))</f>
        <v>2700</v>
      </c>
    </row>
    <row r="82" customFormat="false" ht="15" hidden="false" customHeight="false" outlineLevel="0" collapsed="false">
      <c r="A82" s="15" t="n">
        <v>81</v>
      </c>
      <c r="B82" s="16" t="n">
        <f aca="false">IF(YEAR(DATE(Calcolo!$B$4,1,1)+80)=Calcolo!$B$4,DATE(Calcolo!$B$4,1,1)+80,"")</f>
        <v>45738</v>
      </c>
      <c r="C82" s="17" t="n">
        <f aca="false">IF(B82="","",Calcolo!$B$5+SUMIFS(Calcolo!$C$16:$C$515,Calcolo!$A$16:$A$515,"&gt;="&amp;DATE(Calcolo!$B$4,1,1),Calcolo!$A$16:$A$515,"&lt;="&amp;B82))</f>
        <v>2700</v>
      </c>
      <c r="D82" s="17" t="n">
        <f aca="false">IF(B82="",0,IF(Calcolo!$B$7="SI",MAX(0,C82),C82))</f>
        <v>2700</v>
      </c>
    </row>
    <row r="83" customFormat="false" ht="15" hidden="false" customHeight="false" outlineLevel="0" collapsed="false">
      <c r="A83" s="15" t="n">
        <v>82</v>
      </c>
      <c r="B83" s="16" t="n">
        <f aca="false">IF(YEAR(DATE(Calcolo!$B$4,1,1)+81)=Calcolo!$B$4,DATE(Calcolo!$B$4,1,1)+81,"")</f>
        <v>45739</v>
      </c>
      <c r="C83" s="17" t="n">
        <f aca="false">IF(B83="","",Calcolo!$B$5+SUMIFS(Calcolo!$C$16:$C$515,Calcolo!$A$16:$A$515,"&gt;="&amp;DATE(Calcolo!$B$4,1,1),Calcolo!$A$16:$A$515,"&lt;="&amp;B83))</f>
        <v>2700</v>
      </c>
      <c r="D83" s="17" t="n">
        <f aca="false">IF(B83="",0,IF(Calcolo!$B$7="SI",MAX(0,C83),C83))</f>
        <v>2700</v>
      </c>
    </row>
    <row r="84" customFormat="false" ht="15" hidden="false" customHeight="false" outlineLevel="0" collapsed="false">
      <c r="A84" s="15" t="n">
        <v>83</v>
      </c>
      <c r="B84" s="16" t="n">
        <f aca="false">IF(YEAR(DATE(Calcolo!$B$4,1,1)+82)=Calcolo!$B$4,DATE(Calcolo!$B$4,1,1)+82,"")</f>
        <v>45740</v>
      </c>
      <c r="C84" s="17" t="n">
        <f aca="false">IF(B84="","",Calcolo!$B$5+SUMIFS(Calcolo!$C$16:$C$515,Calcolo!$A$16:$A$515,"&gt;="&amp;DATE(Calcolo!$B$4,1,1),Calcolo!$A$16:$A$515,"&lt;="&amp;B84))</f>
        <v>2700</v>
      </c>
      <c r="D84" s="17" t="n">
        <f aca="false">IF(B84="",0,IF(Calcolo!$B$7="SI",MAX(0,C84),C84))</f>
        <v>2700</v>
      </c>
    </row>
    <row r="85" customFormat="false" ht="15" hidden="false" customHeight="false" outlineLevel="0" collapsed="false">
      <c r="A85" s="15" t="n">
        <v>84</v>
      </c>
      <c r="B85" s="16" t="n">
        <f aca="false">IF(YEAR(DATE(Calcolo!$B$4,1,1)+83)=Calcolo!$B$4,DATE(Calcolo!$B$4,1,1)+83,"")</f>
        <v>45741</v>
      </c>
      <c r="C85" s="17" t="n">
        <f aca="false">IF(B85="","",Calcolo!$B$5+SUMIFS(Calcolo!$C$16:$C$515,Calcolo!$A$16:$A$515,"&gt;="&amp;DATE(Calcolo!$B$4,1,1),Calcolo!$A$16:$A$515,"&lt;="&amp;B85))</f>
        <v>2700</v>
      </c>
      <c r="D85" s="17" t="n">
        <f aca="false">IF(B85="",0,IF(Calcolo!$B$7="SI",MAX(0,C85),C85))</f>
        <v>2700</v>
      </c>
    </row>
    <row r="86" customFormat="false" ht="15" hidden="false" customHeight="false" outlineLevel="0" collapsed="false">
      <c r="A86" s="15" t="n">
        <v>85</v>
      </c>
      <c r="B86" s="16" t="n">
        <f aca="false">IF(YEAR(DATE(Calcolo!$B$4,1,1)+84)=Calcolo!$B$4,DATE(Calcolo!$B$4,1,1)+84,"")</f>
        <v>45742</v>
      </c>
      <c r="C86" s="17" t="n">
        <f aca="false">IF(B86="","",Calcolo!$B$5+SUMIFS(Calcolo!$C$16:$C$515,Calcolo!$A$16:$A$515,"&gt;="&amp;DATE(Calcolo!$B$4,1,1),Calcolo!$A$16:$A$515,"&lt;="&amp;B86))</f>
        <v>2700</v>
      </c>
      <c r="D86" s="17" t="n">
        <f aca="false">IF(B86="",0,IF(Calcolo!$B$7="SI",MAX(0,C86),C86))</f>
        <v>2700</v>
      </c>
    </row>
    <row r="87" customFormat="false" ht="15" hidden="false" customHeight="false" outlineLevel="0" collapsed="false">
      <c r="A87" s="15" t="n">
        <v>86</v>
      </c>
      <c r="B87" s="16" t="n">
        <f aca="false">IF(YEAR(DATE(Calcolo!$B$4,1,1)+85)=Calcolo!$B$4,DATE(Calcolo!$B$4,1,1)+85,"")</f>
        <v>45743</v>
      </c>
      <c r="C87" s="17" t="n">
        <f aca="false">IF(B87="","",Calcolo!$B$5+SUMIFS(Calcolo!$C$16:$C$515,Calcolo!$A$16:$A$515,"&gt;="&amp;DATE(Calcolo!$B$4,1,1),Calcolo!$A$16:$A$515,"&lt;="&amp;B87))</f>
        <v>2700</v>
      </c>
      <c r="D87" s="17" t="n">
        <f aca="false">IF(B87="",0,IF(Calcolo!$B$7="SI",MAX(0,C87),C87))</f>
        <v>2700</v>
      </c>
    </row>
    <row r="88" customFormat="false" ht="15" hidden="false" customHeight="false" outlineLevel="0" collapsed="false">
      <c r="A88" s="15" t="n">
        <v>87</v>
      </c>
      <c r="B88" s="16" t="n">
        <f aca="false">IF(YEAR(DATE(Calcolo!$B$4,1,1)+86)=Calcolo!$B$4,DATE(Calcolo!$B$4,1,1)+86,"")</f>
        <v>45744</v>
      </c>
      <c r="C88" s="17" t="n">
        <f aca="false">IF(B88="","",Calcolo!$B$5+SUMIFS(Calcolo!$C$16:$C$515,Calcolo!$A$16:$A$515,"&gt;="&amp;DATE(Calcolo!$B$4,1,1),Calcolo!$A$16:$A$515,"&lt;="&amp;B88))</f>
        <v>2700</v>
      </c>
      <c r="D88" s="17" t="n">
        <f aca="false">IF(B88="",0,IF(Calcolo!$B$7="SI",MAX(0,C88),C88))</f>
        <v>2700</v>
      </c>
    </row>
    <row r="89" customFormat="false" ht="15" hidden="false" customHeight="false" outlineLevel="0" collapsed="false">
      <c r="A89" s="15" t="n">
        <v>88</v>
      </c>
      <c r="B89" s="16" t="n">
        <f aca="false">IF(YEAR(DATE(Calcolo!$B$4,1,1)+87)=Calcolo!$B$4,DATE(Calcolo!$B$4,1,1)+87,"")</f>
        <v>45745</v>
      </c>
      <c r="C89" s="17" t="n">
        <f aca="false">IF(B89="","",Calcolo!$B$5+SUMIFS(Calcolo!$C$16:$C$515,Calcolo!$A$16:$A$515,"&gt;="&amp;DATE(Calcolo!$B$4,1,1),Calcolo!$A$16:$A$515,"&lt;="&amp;B89))</f>
        <v>2700</v>
      </c>
      <c r="D89" s="17" t="n">
        <f aca="false">IF(B89="",0,IF(Calcolo!$B$7="SI",MAX(0,C89),C89))</f>
        <v>2700</v>
      </c>
    </row>
    <row r="90" customFormat="false" ht="15" hidden="false" customHeight="false" outlineLevel="0" collapsed="false">
      <c r="A90" s="15" t="n">
        <v>89</v>
      </c>
      <c r="B90" s="16" t="n">
        <f aca="false">IF(YEAR(DATE(Calcolo!$B$4,1,1)+88)=Calcolo!$B$4,DATE(Calcolo!$B$4,1,1)+88,"")</f>
        <v>45746</v>
      </c>
      <c r="C90" s="17" t="n">
        <f aca="false">IF(B90="","",Calcolo!$B$5+SUMIFS(Calcolo!$C$16:$C$515,Calcolo!$A$16:$A$515,"&gt;="&amp;DATE(Calcolo!$B$4,1,1),Calcolo!$A$16:$A$515,"&lt;="&amp;B90))</f>
        <v>2700</v>
      </c>
      <c r="D90" s="17" t="n">
        <f aca="false">IF(B90="",0,IF(Calcolo!$B$7="SI",MAX(0,C90),C90))</f>
        <v>2700</v>
      </c>
    </row>
    <row r="91" customFormat="false" ht="15" hidden="false" customHeight="false" outlineLevel="0" collapsed="false">
      <c r="A91" s="15" t="n">
        <v>90</v>
      </c>
      <c r="B91" s="16" t="n">
        <f aca="false">IF(YEAR(DATE(Calcolo!$B$4,1,1)+89)=Calcolo!$B$4,DATE(Calcolo!$B$4,1,1)+89,"")</f>
        <v>45747</v>
      </c>
      <c r="C91" s="17" t="n">
        <f aca="false">IF(B91="","",Calcolo!$B$5+SUMIFS(Calcolo!$C$16:$C$515,Calcolo!$A$16:$A$515,"&gt;="&amp;DATE(Calcolo!$B$4,1,1),Calcolo!$A$16:$A$515,"&lt;="&amp;B91))</f>
        <v>2700</v>
      </c>
      <c r="D91" s="17" t="n">
        <f aca="false">IF(B91="",0,IF(Calcolo!$B$7="SI",MAX(0,C91),C91))</f>
        <v>2700</v>
      </c>
    </row>
    <row r="92" customFormat="false" ht="15" hidden="false" customHeight="false" outlineLevel="0" collapsed="false">
      <c r="A92" s="15" t="n">
        <v>91</v>
      </c>
      <c r="B92" s="16" t="n">
        <f aca="false">IF(YEAR(DATE(Calcolo!$B$4,1,1)+90)=Calcolo!$B$4,DATE(Calcolo!$B$4,1,1)+90,"")</f>
        <v>45748</v>
      </c>
      <c r="C92" s="17" t="n">
        <f aca="false">IF(B92="","",Calcolo!$B$5+SUMIFS(Calcolo!$C$16:$C$515,Calcolo!$A$16:$A$515,"&gt;="&amp;DATE(Calcolo!$B$4,1,1),Calcolo!$A$16:$A$515,"&lt;="&amp;B92))</f>
        <v>2700</v>
      </c>
      <c r="D92" s="17" t="n">
        <f aca="false">IF(B92="",0,IF(Calcolo!$B$7="SI",MAX(0,C92),C92))</f>
        <v>2700</v>
      </c>
    </row>
    <row r="93" customFormat="false" ht="15" hidden="false" customHeight="false" outlineLevel="0" collapsed="false">
      <c r="A93" s="15" t="n">
        <v>92</v>
      </c>
      <c r="B93" s="16" t="n">
        <f aca="false">IF(YEAR(DATE(Calcolo!$B$4,1,1)+91)=Calcolo!$B$4,DATE(Calcolo!$B$4,1,1)+91,"")</f>
        <v>45749</v>
      </c>
      <c r="C93" s="17" t="n">
        <f aca="false">IF(B93="","",Calcolo!$B$5+SUMIFS(Calcolo!$C$16:$C$515,Calcolo!$A$16:$A$515,"&gt;="&amp;DATE(Calcolo!$B$4,1,1),Calcolo!$A$16:$A$515,"&lt;="&amp;B93))</f>
        <v>2700</v>
      </c>
      <c r="D93" s="17" t="n">
        <f aca="false">IF(B93="",0,IF(Calcolo!$B$7="SI",MAX(0,C93),C93))</f>
        <v>2700</v>
      </c>
    </row>
    <row r="94" customFormat="false" ht="15" hidden="false" customHeight="false" outlineLevel="0" collapsed="false">
      <c r="A94" s="15" t="n">
        <v>93</v>
      </c>
      <c r="B94" s="16" t="n">
        <f aca="false">IF(YEAR(DATE(Calcolo!$B$4,1,1)+92)=Calcolo!$B$4,DATE(Calcolo!$B$4,1,1)+92,"")</f>
        <v>45750</v>
      </c>
      <c r="C94" s="17" t="n">
        <f aca="false">IF(B94="","",Calcolo!$B$5+SUMIFS(Calcolo!$C$16:$C$515,Calcolo!$A$16:$A$515,"&gt;="&amp;DATE(Calcolo!$B$4,1,1),Calcolo!$A$16:$A$515,"&lt;="&amp;B94))</f>
        <v>2700</v>
      </c>
      <c r="D94" s="17" t="n">
        <f aca="false">IF(B94="",0,IF(Calcolo!$B$7="SI",MAX(0,C94),C94))</f>
        <v>2700</v>
      </c>
    </row>
    <row r="95" customFormat="false" ht="15" hidden="false" customHeight="false" outlineLevel="0" collapsed="false">
      <c r="A95" s="15" t="n">
        <v>94</v>
      </c>
      <c r="B95" s="16" t="n">
        <f aca="false">IF(YEAR(DATE(Calcolo!$B$4,1,1)+93)=Calcolo!$B$4,DATE(Calcolo!$B$4,1,1)+93,"")</f>
        <v>45751</v>
      </c>
      <c r="C95" s="17" t="n">
        <f aca="false">IF(B95="","",Calcolo!$B$5+SUMIFS(Calcolo!$C$16:$C$515,Calcolo!$A$16:$A$515,"&gt;="&amp;DATE(Calcolo!$B$4,1,1),Calcolo!$A$16:$A$515,"&lt;="&amp;B95))</f>
        <v>2700</v>
      </c>
      <c r="D95" s="17" t="n">
        <f aca="false">IF(B95="",0,IF(Calcolo!$B$7="SI",MAX(0,C95),C95))</f>
        <v>2700</v>
      </c>
    </row>
    <row r="96" customFormat="false" ht="15" hidden="false" customHeight="false" outlineLevel="0" collapsed="false">
      <c r="A96" s="15" t="n">
        <v>95</v>
      </c>
      <c r="B96" s="16" t="n">
        <f aca="false">IF(YEAR(DATE(Calcolo!$B$4,1,1)+94)=Calcolo!$B$4,DATE(Calcolo!$B$4,1,1)+94,"")</f>
        <v>45752</v>
      </c>
      <c r="C96" s="17" t="n">
        <f aca="false">IF(B96="","",Calcolo!$B$5+SUMIFS(Calcolo!$C$16:$C$515,Calcolo!$A$16:$A$515,"&gt;="&amp;DATE(Calcolo!$B$4,1,1),Calcolo!$A$16:$A$515,"&lt;="&amp;B96))</f>
        <v>2700</v>
      </c>
      <c r="D96" s="17" t="n">
        <f aca="false">IF(B96="",0,IF(Calcolo!$B$7="SI",MAX(0,C96),C96))</f>
        <v>2700</v>
      </c>
    </row>
    <row r="97" customFormat="false" ht="15" hidden="false" customHeight="false" outlineLevel="0" collapsed="false">
      <c r="A97" s="15" t="n">
        <v>96</v>
      </c>
      <c r="B97" s="16" t="n">
        <f aca="false">IF(YEAR(DATE(Calcolo!$B$4,1,1)+95)=Calcolo!$B$4,DATE(Calcolo!$B$4,1,1)+95,"")</f>
        <v>45753</v>
      </c>
      <c r="C97" s="17" t="n">
        <f aca="false">IF(B97="","",Calcolo!$B$5+SUMIFS(Calcolo!$C$16:$C$515,Calcolo!$A$16:$A$515,"&gt;="&amp;DATE(Calcolo!$B$4,1,1),Calcolo!$A$16:$A$515,"&lt;="&amp;B97))</f>
        <v>2700</v>
      </c>
      <c r="D97" s="17" t="n">
        <f aca="false">IF(B97="",0,IF(Calcolo!$B$7="SI",MAX(0,C97),C97))</f>
        <v>2700</v>
      </c>
    </row>
    <row r="98" customFormat="false" ht="15" hidden="false" customHeight="false" outlineLevel="0" collapsed="false">
      <c r="A98" s="15" t="n">
        <v>97</v>
      </c>
      <c r="B98" s="16" t="n">
        <f aca="false">IF(YEAR(DATE(Calcolo!$B$4,1,1)+96)=Calcolo!$B$4,DATE(Calcolo!$B$4,1,1)+96,"")</f>
        <v>45754</v>
      </c>
      <c r="C98" s="17" t="n">
        <f aca="false">IF(B98="","",Calcolo!$B$5+SUMIFS(Calcolo!$C$16:$C$515,Calcolo!$A$16:$A$515,"&gt;="&amp;DATE(Calcolo!$B$4,1,1),Calcolo!$A$16:$A$515,"&lt;="&amp;B98))</f>
        <v>2700</v>
      </c>
      <c r="D98" s="17" t="n">
        <f aca="false">IF(B98="",0,IF(Calcolo!$B$7="SI",MAX(0,C98),C98))</f>
        <v>2700</v>
      </c>
    </row>
    <row r="99" customFormat="false" ht="15" hidden="false" customHeight="false" outlineLevel="0" collapsed="false">
      <c r="A99" s="15" t="n">
        <v>98</v>
      </c>
      <c r="B99" s="16" t="n">
        <f aca="false">IF(YEAR(DATE(Calcolo!$B$4,1,1)+97)=Calcolo!$B$4,DATE(Calcolo!$B$4,1,1)+97,"")</f>
        <v>45755</v>
      </c>
      <c r="C99" s="17" t="n">
        <f aca="false">IF(B99="","",Calcolo!$B$5+SUMIFS(Calcolo!$C$16:$C$515,Calcolo!$A$16:$A$515,"&gt;="&amp;DATE(Calcolo!$B$4,1,1),Calcolo!$A$16:$A$515,"&lt;="&amp;B99))</f>
        <v>2700</v>
      </c>
      <c r="D99" s="17" t="n">
        <f aca="false">IF(B99="",0,IF(Calcolo!$B$7="SI",MAX(0,C99),C99))</f>
        <v>2700</v>
      </c>
    </row>
    <row r="100" customFormat="false" ht="15" hidden="false" customHeight="false" outlineLevel="0" collapsed="false">
      <c r="A100" s="15" t="n">
        <v>99</v>
      </c>
      <c r="B100" s="16" t="n">
        <f aca="false">IF(YEAR(DATE(Calcolo!$B$4,1,1)+98)=Calcolo!$B$4,DATE(Calcolo!$B$4,1,1)+98,"")</f>
        <v>45756</v>
      </c>
      <c r="C100" s="17" t="n">
        <f aca="false">IF(B100="","",Calcolo!$B$5+SUMIFS(Calcolo!$C$16:$C$515,Calcolo!$A$16:$A$515,"&gt;="&amp;DATE(Calcolo!$B$4,1,1),Calcolo!$A$16:$A$515,"&lt;="&amp;B100))</f>
        <v>2700</v>
      </c>
      <c r="D100" s="17" t="n">
        <f aca="false">IF(B100="",0,IF(Calcolo!$B$7="SI",MAX(0,C100),C100))</f>
        <v>2700</v>
      </c>
    </row>
    <row r="101" customFormat="false" ht="15" hidden="false" customHeight="false" outlineLevel="0" collapsed="false">
      <c r="A101" s="15" t="n">
        <v>100</v>
      </c>
      <c r="B101" s="16" t="n">
        <f aca="false">IF(YEAR(DATE(Calcolo!$B$4,1,1)+99)=Calcolo!$B$4,DATE(Calcolo!$B$4,1,1)+99,"")</f>
        <v>45757</v>
      </c>
      <c r="C101" s="17" t="n">
        <f aca="false">IF(B101="","",Calcolo!$B$5+SUMIFS(Calcolo!$C$16:$C$515,Calcolo!$A$16:$A$515,"&gt;="&amp;DATE(Calcolo!$B$4,1,1),Calcolo!$A$16:$A$515,"&lt;="&amp;B101))</f>
        <v>2700</v>
      </c>
      <c r="D101" s="17" t="n">
        <f aca="false">IF(B101="",0,IF(Calcolo!$B$7="SI",MAX(0,C101),C101))</f>
        <v>2700</v>
      </c>
    </row>
    <row r="102" customFormat="false" ht="15" hidden="false" customHeight="false" outlineLevel="0" collapsed="false">
      <c r="A102" s="15" t="n">
        <v>101</v>
      </c>
      <c r="B102" s="16" t="n">
        <f aca="false">IF(YEAR(DATE(Calcolo!$B$4,1,1)+100)=Calcolo!$B$4,DATE(Calcolo!$B$4,1,1)+100,"")</f>
        <v>45758</v>
      </c>
      <c r="C102" s="17" t="n">
        <f aca="false">IF(B102="","",Calcolo!$B$5+SUMIFS(Calcolo!$C$16:$C$515,Calcolo!$A$16:$A$515,"&gt;="&amp;DATE(Calcolo!$B$4,1,1),Calcolo!$A$16:$A$515,"&lt;="&amp;B102))</f>
        <v>2700</v>
      </c>
      <c r="D102" s="17" t="n">
        <f aca="false">IF(B102="",0,IF(Calcolo!$B$7="SI",MAX(0,C102),C102))</f>
        <v>2700</v>
      </c>
    </row>
    <row r="103" customFormat="false" ht="15" hidden="false" customHeight="false" outlineLevel="0" collapsed="false">
      <c r="A103" s="15" t="n">
        <v>102</v>
      </c>
      <c r="B103" s="16" t="n">
        <f aca="false">IF(YEAR(DATE(Calcolo!$B$4,1,1)+101)=Calcolo!$B$4,DATE(Calcolo!$B$4,1,1)+101,"")</f>
        <v>45759</v>
      </c>
      <c r="C103" s="17" t="n">
        <f aca="false">IF(B103="","",Calcolo!$B$5+SUMIFS(Calcolo!$C$16:$C$515,Calcolo!$A$16:$A$515,"&gt;="&amp;DATE(Calcolo!$B$4,1,1),Calcolo!$A$16:$A$515,"&lt;="&amp;B103))</f>
        <v>2700</v>
      </c>
      <c r="D103" s="17" t="n">
        <f aca="false">IF(B103="",0,IF(Calcolo!$B$7="SI",MAX(0,C103),C103))</f>
        <v>2700</v>
      </c>
    </row>
    <row r="104" customFormat="false" ht="15" hidden="false" customHeight="false" outlineLevel="0" collapsed="false">
      <c r="A104" s="15" t="n">
        <v>103</v>
      </c>
      <c r="B104" s="16" t="n">
        <f aca="false">IF(YEAR(DATE(Calcolo!$B$4,1,1)+102)=Calcolo!$B$4,DATE(Calcolo!$B$4,1,1)+102,"")</f>
        <v>45760</v>
      </c>
      <c r="C104" s="17" t="n">
        <f aca="false">IF(B104="","",Calcolo!$B$5+SUMIFS(Calcolo!$C$16:$C$515,Calcolo!$A$16:$A$515,"&gt;="&amp;DATE(Calcolo!$B$4,1,1),Calcolo!$A$16:$A$515,"&lt;="&amp;B104))</f>
        <v>2700</v>
      </c>
      <c r="D104" s="17" t="n">
        <f aca="false">IF(B104="",0,IF(Calcolo!$B$7="SI",MAX(0,C104),C104))</f>
        <v>2700</v>
      </c>
    </row>
    <row r="105" customFormat="false" ht="15" hidden="false" customHeight="false" outlineLevel="0" collapsed="false">
      <c r="A105" s="15" t="n">
        <v>104</v>
      </c>
      <c r="B105" s="16" t="n">
        <f aca="false">IF(YEAR(DATE(Calcolo!$B$4,1,1)+103)=Calcolo!$B$4,DATE(Calcolo!$B$4,1,1)+103,"")</f>
        <v>45761</v>
      </c>
      <c r="C105" s="17" t="n">
        <f aca="false">IF(B105="","",Calcolo!$B$5+SUMIFS(Calcolo!$C$16:$C$515,Calcolo!$A$16:$A$515,"&gt;="&amp;DATE(Calcolo!$B$4,1,1),Calcolo!$A$16:$A$515,"&lt;="&amp;B105))</f>
        <v>2700</v>
      </c>
      <c r="D105" s="17" t="n">
        <f aca="false">IF(B105="",0,IF(Calcolo!$B$7="SI",MAX(0,C105),C105))</f>
        <v>2700</v>
      </c>
    </row>
    <row r="106" customFormat="false" ht="15" hidden="false" customHeight="false" outlineLevel="0" collapsed="false">
      <c r="A106" s="15" t="n">
        <v>105</v>
      </c>
      <c r="B106" s="16" t="n">
        <f aca="false">IF(YEAR(DATE(Calcolo!$B$4,1,1)+104)=Calcolo!$B$4,DATE(Calcolo!$B$4,1,1)+104,"")</f>
        <v>45762</v>
      </c>
      <c r="C106" s="17" t="n">
        <f aca="false">IF(B106="","",Calcolo!$B$5+SUMIFS(Calcolo!$C$16:$C$515,Calcolo!$A$16:$A$515,"&gt;="&amp;DATE(Calcolo!$B$4,1,1),Calcolo!$A$16:$A$515,"&lt;="&amp;B106))</f>
        <v>2700</v>
      </c>
      <c r="D106" s="17" t="n">
        <f aca="false">IF(B106="",0,IF(Calcolo!$B$7="SI",MAX(0,C106),C106))</f>
        <v>2700</v>
      </c>
    </row>
    <row r="107" customFormat="false" ht="15" hidden="false" customHeight="false" outlineLevel="0" collapsed="false">
      <c r="A107" s="15" t="n">
        <v>106</v>
      </c>
      <c r="B107" s="16" t="n">
        <f aca="false">IF(YEAR(DATE(Calcolo!$B$4,1,1)+105)=Calcolo!$B$4,DATE(Calcolo!$B$4,1,1)+105,"")</f>
        <v>45763</v>
      </c>
      <c r="C107" s="17" t="n">
        <f aca="false">IF(B107="","",Calcolo!$B$5+SUMIFS(Calcolo!$C$16:$C$515,Calcolo!$A$16:$A$515,"&gt;="&amp;DATE(Calcolo!$B$4,1,1),Calcolo!$A$16:$A$515,"&lt;="&amp;B107))</f>
        <v>2700</v>
      </c>
      <c r="D107" s="17" t="n">
        <f aca="false">IF(B107="",0,IF(Calcolo!$B$7="SI",MAX(0,C107),C107))</f>
        <v>2700</v>
      </c>
    </row>
    <row r="108" customFormat="false" ht="15" hidden="false" customHeight="false" outlineLevel="0" collapsed="false">
      <c r="A108" s="15" t="n">
        <v>107</v>
      </c>
      <c r="B108" s="16" t="n">
        <f aca="false">IF(YEAR(DATE(Calcolo!$B$4,1,1)+106)=Calcolo!$B$4,DATE(Calcolo!$B$4,1,1)+106,"")</f>
        <v>45764</v>
      </c>
      <c r="C108" s="17" t="n">
        <f aca="false">IF(B108="","",Calcolo!$B$5+SUMIFS(Calcolo!$C$16:$C$515,Calcolo!$A$16:$A$515,"&gt;="&amp;DATE(Calcolo!$B$4,1,1),Calcolo!$A$16:$A$515,"&lt;="&amp;B108))</f>
        <v>2700</v>
      </c>
      <c r="D108" s="17" t="n">
        <f aca="false">IF(B108="",0,IF(Calcolo!$B$7="SI",MAX(0,C108),C108))</f>
        <v>2700</v>
      </c>
    </row>
    <row r="109" customFormat="false" ht="15" hidden="false" customHeight="false" outlineLevel="0" collapsed="false">
      <c r="A109" s="15" t="n">
        <v>108</v>
      </c>
      <c r="B109" s="16" t="n">
        <f aca="false">IF(YEAR(DATE(Calcolo!$B$4,1,1)+107)=Calcolo!$B$4,DATE(Calcolo!$B$4,1,1)+107,"")</f>
        <v>45765</v>
      </c>
      <c r="C109" s="17" t="n">
        <f aca="false">IF(B109="","",Calcolo!$B$5+SUMIFS(Calcolo!$C$16:$C$515,Calcolo!$A$16:$A$515,"&gt;="&amp;DATE(Calcolo!$B$4,1,1),Calcolo!$A$16:$A$515,"&lt;="&amp;B109))</f>
        <v>2700</v>
      </c>
      <c r="D109" s="17" t="n">
        <f aca="false">IF(B109="",0,IF(Calcolo!$B$7="SI",MAX(0,C109),C109))</f>
        <v>2700</v>
      </c>
    </row>
    <row r="110" customFormat="false" ht="15" hidden="false" customHeight="false" outlineLevel="0" collapsed="false">
      <c r="A110" s="15" t="n">
        <v>109</v>
      </c>
      <c r="B110" s="16" t="n">
        <f aca="false">IF(YEAR(DATE(Calcolo!$B$4,1,1)+108)=Calcolo!$B$4,DATE(Calcolo!$B$4,1,1)+108,"")</f>
        <v>45766</v>
      </c>
      <c r="C110" s="17" t="n">
        <f aca="false">IF(B110="","",Calcolo!$B$5+SUMIFS(Calcolo!$C$16:$C$515,Calcolo!$A$16:$A$515,"&gt;="&amp;DATE(Calcolo!$B$4,1,1),Calcolo!$A$16:$A$515,"&lt;="&amp;B110))</f>
        <v>2700</v>
      </c>
      <c r="D110" s="17" t="n">
        <f aca="false">IF(B110="",0,IF(Calcolo!$B$7="SI",MAX(0,C110),C110))</f>
        <v>2700</v>
      </c>
    </row>
    <row r="111" customFormat="false" ht="15" hidden="false" customHeight="false" outlineLevel="0" collapsed="false">
      <c r="A111" s="15" t="n">
        <v>110</v>
      </c>
      <c r="B111" s="16" t="n">
        <f aca="false">IF(YEAR(DATE(Calcolo!$B$4,1,1)+109)=Calcolo!$B$4,DATE(Calcolo!$B$4,1,1)+109,"")</f>
        <v>45767</v>
      </c>
      <c r="C111" s="17" t="n">
        <f aca="false">IF(B111="","",Calcolo!$B$5+SUMIFS(Calcolo!$C$16:$C$515,Calcolo!$A$16:$A$515,"&gt;="&amp;DATE(Calcolo!$B$4,1,1),Calcolo!$A$16:$A$515,"&lt;="&amp;B111))</f>
        <v>2700</v>
      </c>
      <c r="D111" s="17" t="n">
        <f aca="false">IF(B111="",0,IF(Calcolo!$B$7="SI",MAX(0,C111),C111))</f>
        <v>2700</v>
      </c>
    </row>
    <row r="112" customFormat="false" ht="15" hidden="false" customHeight="false" outlineLevel="0" collapsed="false">
      <c r="A112" s="15" t="n">
        <v>111</v>
      </c>
      <c r="B112" s="16" t="n">
        <f aca="false">IF(YEAR(DATE(Calcolo!$B$4,1,1)+110)=Calcolo!$B$4,DATE(Calcolo!$B$4,1,1)+110,"")</f>
        <v>45768</v>
      </c>
      <c r="C112" s="17" t="n">
        <f aca="false">IF(B112="","",Calcolo!$B$5+SUMIFS(Calcolo!$C$16:$C$515,Calcolo!$A$16:$A$515,"&gt;="&amp;DATE(Calcolo!$B$4,1,1),Calcolo!$A$16:$A$515,"&lt;="&amp;B112))</f>
        <v>2700</v>
      </c>
      <c r="D112" s="17" t="n">
        <f aca="false">IF(B112="",0,IF(Calcolo!$B$7="SI",MAX(0,C112),C112))</f>
        <v>2700</v>
      </c>
    </row>
    <row r="113" customFormat="false" ht="15" hidden="false" customHeight="false" outlineLevel="0" collapsed="false">
      <c r="A113" s="15" t="n">
        <v>112</v>
      </c>
      <c r="B113" s="16" t="n">
        <f aca="false">IF(YEAR(DATE(Calcolo!$B$4,1,1)+111)=Calcolo!$B$4,DATE(Calcolo!$B$4,1,1)+111,"")</f>
        <v>45769</v>
      </c>
      <c r="C113" s="17" t="n">
        <f aca="false">IF(B113="","",Calcolo!$B$5+SUMIFS(Calcolo!$C$16:$C$515,Calcolo!$A$16:$A$515,"&gt;="&amp;DATE(Calcolo!$B$4,1,1),Calcolo!$A$16:$A$515,"&lt;="&amp;B113))</f>
        <v>2700</v>
      </c>
      <c r="D113" s="17" t="n">
        <f aca="false">IF(B113="",0,IF(Calcolo!$B$7="SI",MAX(0,C113),C113))</f>
        <v>2700</v>
      </c>
    </row>
    <row r="114" customFormat="false" ht="15" hidden="false" customHeight="false" outlineLevel="0" collapsed="false">
      <c r="A114" s="15" t="n">
        <v>113</v>
      </c>
      <c r="B114" s="16" t="n">
        <f aca="false">IF(YEAR(DATE(Calcolo!$B$4,1,1)+112)=Calcolo!$B$4,DATE(Calcolo!$B$4,1,1)+112,"")</f>
        <v>45770</v>
      </c>
      <c r="C114" s="17" t="n">
        <f aca="false">IF(B114="","",Calcolo!$B$5+SUMIFS(Calcolo!$C$16:$C$515,Calcolo!$A$16:$A$515,"&gt;="&amp;DATE(Calcolo!$B$4,1,1),Calcolo!$A$16:$A$515,"&lt;="&amp;B114))</f>
        <v>2700</v>
      </c>
      <c r="D114" s="17" t="n">
        <f aca="false">IF(B114="",0,IF(Calcolo!$B$7="SI",MAX(0,C114),C114))</f>
        <v>2700</v>
      </c>
    </row>
    <row r="115" customFormat="false" ht="15" hidden="false" customHeight="false" outlineLevel="0" collapsed="false">
      <c r="A115" s="15" t="n">
        <v>114</v>
      </c>
      <c r="B115" s="16" t="n">
        <f aca="false">IF(YEAR(DATE(Calcolo!$B$4,1,1)+113)=Calcolo!$B$4,DATE(Calcolo!$B$4,1,1)+113,"")</f>
        <v>45771</v>
      </c>
      <c r="C115" s="17" t="n">
        <f aca="false">IF(B115="","",Calcolo!$B$5+SUMIFS(Calcolo!$C$16:$C$515,Calcolo!$A$16:$A$515,"&gt;="&amp;DATE(Calcolo!$B$4,1,1),Calcolo!$A$16:$A$515,"&lt;="&amp;B115))</f>
        <v>2700</v>
      </c>
      <c r="D115" s="17" t="n">
        <f aca="false">IF(B115="",0,IF(Calcolo!$B$7="SI",MAX(0,C115),C115))</f>
        <v>2700</v>
      </c>
    </row>
    <row r="116" customFormat="false" ht="15" hidden="false" customHeight="false" outlineLevel="0" collapsed="false">
      <c r="A116" s="15" t="n">
        <v>115</v>
      </c>
      <c r="B116" s="16" t="n">
        <f aca="false">IF(YEAR(DATE(Calcolo!$B$4,1,1)+114)=Calcolo!$B$4,DATE(Calcolo!$B$4,1,1)+114,"")</f>
        <v>45772</v>
      </c>
      <c r="C116" s="17" t="n">
        <f aca="false">IF(B116="","",Calcolo!$B$5+SUMIFS(Calcolo!$C$16:$C$515,Calcolo!$A$16:$A$515,"&gt;="&amp;DATE(Calcolo!$B$4,1,1),Calcolo!$A$16:$A$515,"&lt;="&amp;B116))</f>
        <v>2700</v>
      </c>
      <c r="D116" s="17" t="n">
        <f aca="false">IF(B116="",0,IF(Calcolo!$B$7="SI",MAX(0,C116),C116))</f>
        <v>2700</v>
      </c>
    </row>
    <row r="117" customFormat="false" ht="15" hidden="false" customHeight="false" outlineLevel="0" collapsed="false">
      <c r="A117" s="15" t="n">
        <v>116</v>
      </c>
      <c r="B117" s="16" t="n">
        <f aca="false">IF(YEAR(DATE(Calcolo!$B$4,1,1)+115)=Calcolo!$B$4,DATE(Calcolo!$B$4,1,1)+115,"")</f>
        <v>45773</v>
      </c>
      <c r="C117" s="17" t="n">
        <f aca="false">IF(B117="","",Calcolo!$B$5+SUMIFS(Calcolo!$C$16:$C$515,Calcolo!$A$16:$A$515,"&gt;="&amp;DATE(Calcolo!$B$4,1,1),Calcolo!$A$16:$A$515,"&lt;="&amp;B117))</f>
        <v>2700</v>
      </c>
      <c r="D117" s="17" t="n">
        <f aca="false">IF(B117="",0,IF(Calcolo!$B$7="SI",MAX(0,C117),C117))</f>
        <v>2700</v>
      </c>
    </row>
    <row r="118" customFormat="false" ht="15" hidden="false" customHeight="false" outlineLevel="0" collapsed="false">
      <c r="A118" s="15" t="n">
        <v>117</v>
      </c>
      <c r="B118" s="16" t="n">
        <f aca="false">IF(YEAR(DATE(Calcolo!$B$4,1,1)+116)=Calcolo!$B$4,DATE(Calcolo!$B$4,1,1)+116,"")</f>
        <v>45774</v>
      </c>
      <c r="C118" s="17" t="n">
        <f aca="false">IF(B118="","",Calcolo!$B$5+SUMIFS(Calcolo!$C$16:$C$515,Calcolo!$A$16:$A$515,"&gt;="&amp;DATE(Calcolo!$B$4,1,1),Calcolo!$A$16:$A$515,"&lt;="&amp;B118))</f>
        <v>2700</v>
      </c>
      <c r="D118" s="17" t="n">
        <f aca="false">IF(B118="",0,IF(Calcolo!$B$7="SI",MAX(0,C118),C118))</f>
        <v>2700</v>
      </c>
    </row>
    <row r="119" customFormat="false" ht="15" hidden="false" customHeight="false" outlineLevel="0" collapsed="false">
      <c r="A119" s="15" t="n">
        <v>118</v>
      </c>
      <c r="B119" s="16" t="n">
        <f aca="false">IF(YEAR(DATE(Calcolo!$B$4,1,1)+117)=Calcolo!$B$4,DATE(Calcolo!$B$4,1,1)+117,"")</f>
        <v>45775</v>
      </c>
      <c r="C119" s="17" t="n">
        <f aca="false">IF(B119="","",Calcolo!$B$5+SUMIFS(Calcolo!$C$16:$C$515,Calcolo!$A$16:$A$515,"&gt;="&amp;DATE(Calcolo!$B$4,1,1),Calcolo!$A$16:$A$515,"&lt;="&amp;B119))</f>
        <v>2700</v>
      </c>
      <c r="D119" s="17" t="n">
        <f aca="false">IF(B119="",0,IF(Calcolo!$B$7="SI",MAX(0,C119),C119))</f>
        <v>2700</v>
      </c>
    </row>
    <row r="120" customFormat="false" ht="15" hidden="false" customHeight="false" outlineLevel="0" collapsed="false">
      <c r="A120" s="15" t="n">
        <v>119</v>
      </c>
      <c r="B120" s="16" t="n">
        <f aca="false">IF(YEAR(DATE(Calcolo!$B$4,1,1)+118)=Calcolo!$B$4,DATE(Calcolo!$B$4,1,1)+118,"")</f>
        <v>45776</v>
      </c>
      <c r="C120" s="17" t="n">
        <f aca="false">IF(B120="","",Calcolo!$B$5+SUMIFS(Calcolo!$C$16:$C$515,Calcolo!$A$16:$A$515,"&gt;="&amp;DATE(Calcolo!$B$4,1,1),Calcolo!$A$16:$A$515,"&lt;="&amp;B120))</f>
        <v>2700</v>
      </c>
      <c r="D120" s="17" t="n">
        <f aca="false">IF(B120="",0,IF(Calcolo!$B$7="SI",MAX(0,C120),C120))</f>
        <v>2700</v>
      </c>
    </row>
    <row r="121" customFormat="false" ht="15" hidden="false" customHeight="false" outlineLevel="0" collapsed="false">
      <c r="A121" s="15" t="n">
        <v>120</v>
      </c>
      <c r="B121" s="16" t="n">
        <f aca="false">IF(YEAR(DATE(Calcolo!$B$4,1,1)+119)=Calcolo!$B$4,DATE(Calcolo!$B$4,1,1)+119,"")</f>
        <v>45777</v>
      </c>
      <c r="C121" s="17" t="n">
        <f aca="false">IF(B121="","",Calcolo!$B$5+SUMIFS(Calcolo!$C$16:$C$515,Calcolo!$A$16:$A$515,"&gt;="&amp;DATE(Calcolo!$B$4,1,1),Calcolo!$A$16:$A$515,"&lt;="&amp;B121))</f>
        <v>2700</v>
      </c>
      <c r="D121" s="17" t="n">
        <f aca="false">IF(B121="",0,IF(Calcolo!$B$7="SI",MAX(0,C121),C121))</f>
        <v>2700</v>
      </c>
    </row>
    <row r="122" customFormat="false" ht="15" hidden="false" customHeight="false" outlineLevel="0" collapsed="false">
      <c r="A122" s="15" t="n">
        <v>121</v>
      </c>
      <c r="B122" s="16" t="n">
        <f aca="false">IF(YEAR(DATE(Calcolo!$B$4,1,1)+120)=Calcolo!$B$4,DATE(Calcolo!$B$4,1,1)+120,"")</f>
        <v>45778</v>
      </c>
      <c r="C122" s="17" t="n">
        <f aca="false">IF(B122="","",Calcolo!$B$5+SUMIFS(Calcolo!$C$16:$C$515,Calcolo!$A$16:$A$515,"&gt;="&amp;DATE(Calcolo!$B$4,1,1),Calcolo!$A$16:$A$515,"&lt;="&amp;B122))</f>
        <v>2700</v>
      </c>
      <c r="D122" s="17" t="n">
        <f aca="false">IF(B122="",0,IF(Calcolo!$B$7="SI",MAX(0,C122),C122))</f>
        <v>2700</v>
      </c>
    </row>
    <row r="123" customFormat="false" ht="15" hidden="false" customHeight="false" outlineLevel="0" collapsed="false">
      <c r="A123" s="15" t="n">
        <v>122</v>
      </c>
      <c r="B123" s="16" t="n">
        <f aca="false">IF(YEAR(DATE(Calcolo!$B$4,1,1)+121)=Calcolo!$B$4,DATE(Calcolo!$B$4,1,1)+121,"")</f>
        <v>45779</v>
      </c>
      <c r="C123" s="17" t="n">
        <f aca="false">IF(B123="","",Calcolo!$B$5+SUMIFS(Calcolo!$C$16:$C$515,Calcolo!$A$16:$A$515,"&gt;="&amp;DATE(Calcolo!$B$4,1,1),Calcolo!$A$16:$A$515,"&lt;="&amp;B123))</f>
        <v>2700</v>
      </c>
      <c r="D123" s="17" t="n">
        <f aca="false">IF(B123="",0,IF(Calcolo!$B$7="SI",MAX(0,C123),C123))</f>
        <v>2700</v>
      </c>
    </row>
    <row r="124" customFormat="false" ht="15" hidden="false" customHeight="false" outlineLevel="0" collapsed="false">
      <c r="A124" s="15" t="n">
        <v>123</v>
      </c>
      <c r="B124" s="16" t="n">
        <f aca="false">IF(YEAR(DATE(Calcolo!$B$4,1,1)+122)=Calcolo!$B$4,DATE(Calcolo!$B$4,1,1)+122,"")</f>
        <v>45780</v>
      </c>
      <c r="C124" s="17" t="n">
        <f aca="false">IF(B124="","",Calcolo!$B$5+SUMIFS(Calcolo!$C$16:$C$515,Calcolo!$A$16:$A$515,"&gt;="&amp;DATE(Calcolo!$B$4,1,1),Calcolo!$A$16:$A$515,"&lt;="&amp;B124))</f>
        <v>2700</v>
      </c>
      <c r="D124" s="17" t="n">
        <f aca="false">IF(B124="",0,IF(Calcolo!$B$7="SI",MAX(0,C124),C124))</f>
        <v>2700</v>
      </c>
    </row>
    <row r="125" customFormat="false" ht="15" hidden="false" customHeight="false" outlineLevel="0" collapsed="false">
      <c r="A125" s="15" t="n">
        <v>124</v>
      </c>
      <c r="B125" s="16" t="n">
        <f aca="false">IF(YEAR(DATE(Calcolo!$B$4,1,1)+123)=Calcolo!$B$4,DATE(Calcolo!$B$4,1,1)+123,"")</f>
        <v>45781</v>
      </c>
      <c r="C125" s="17" t="n">
        <f aca="false">IF(B125="","",Calcolo!$B$5+SUMIFS(Calcolo!$C$16:$C$515,Calcolo!$A$16:$A$515,"&gt;="&amp;DATE(Calcolo!$B$4,1,1),Calcolo!$A$16:$A$515,"&lt;="&amp;B125))</f>
        <v>2700</v>
      </c>
      <c r="D125" s="17" t="n">
        <f aca="false">IF(B125="",0,IF(Calcolo!$B$7="SI",MAX(0,C125),C125))</f>
        <v>2700</v>
      </c>
    </row>
    <row r="126" customFormat="false" ht="15" hidden="false" customHeight="false" outlineLevel="0" collapsed="false">
      <c r="A126" s="15" t="n">
        <v>125</v>
      </c>
      <c r="B126" s="16" t="n">
        <f aca="false">IF(YEAR(DATE(Calcolo!$B$4,1,1)+124)=Calcolo!$B$4,DATE(Calcolo!$B$4,1,1)+124,"")</f>
        <v>45782</v>
      </c>
      <c r="C126" s="17" t="n">
        <f aca="false">IF(B126="","",Calcolo!$B$5+SUMIFS(Calcolo!$C$16:$C$515,Calcolo!$A$16:$A$515,"&gt;="&amp;DATE(Calcolo!$B$4,1,1),Calcolo!$A$16:$A$515,"&lt;="&amp;B126))</f>
        <v>2700</v>
      </c>
      <c r="D126" s="17" t="n">
        <f aca="false">IF(B126="",0,IF(Calcolo!$B$7="SI",MAX(0,C126),C126))</f>
        <v>2700</v>
      </c>
    </row>
    <row r="127" customFormat="false" ht="15" hidden="false" customHeight="false" outlineLevel="0" collapsed="false">
      <c r="A127" s="15" t="n">
        <v>126</v>
      </c>
      <c r="B127" s="16" t="n">
        <f aca="false">IF(YEAR(DATE(Calcolo!$B$4,1,1)+125)=Calcolo!$B$4,DATE(Calcolo!$B$4,1,1)+125,"")</f>
        <v>45783</v>
      </c>
      <c r="C127" s="17" t="n">
        <f aca="false">IF(B127="","",Calcolo!$B$5+SUMIFS(Calcolo!$C$16:$C$515,Calcolo!$A$16:$A$515,"&gt;="&amp;DATE(Calcolo!$B$4,1,1),Calcolo!$A$16:$A$515,"&lt;="&amp;B127))</f>
        <v>2700</v>
      </c>
      <c r="D127" s="17" t="n">
        <f aca="false">IF(B127="",0,IF(Calcolo!$B$7="SI",MAX(0,C127),C127))</f>
        <v>2700</v>
      </c>
    </row>
    <row r="128" customFormat="false" ht="15" hidden="false" customHeight="false" outlineLevel="0" collapsed="false">
      <c r="A128" s="15" t="n">
        <v>127</v>
      </c>
      <c r="B128" s="16" t="n">
        <f aca="false">IF(YEAR(DATE(Calcolo!$B$4,1,1)+126)=Calcolo!$B$4,DATE(Calcolo!$B$4,1,1)+126,"")</f>
        <v>45784</v>
      </c>
      <c r="C128" s="17" t="n">
        <f aca="false">IF(B128="","",Calcolo!$B$5+SUMIFS(Calcolo!$C$16:$C$515,Calcolo!$A$16:$A$515,"&gt;="&amp;DATE(Calcolo!$B$4,1,1),Calcolo!$A$16:$A$515,"&lt;="&amp;B128))</f>
        <v>2700</v>
      </c>
      <c r="D128" s="17" t="n">
        <f aca="false">IF(B128="",0,IF(Calcolo!$B$7="SI",MAX(0,C128),C128))</f>
        <v>2700</v>
      </c>
    </row>
    <row r="129" customFormat="false" ht="15" hidden="false" customHeight="false" outlineLevel="0" collapsed="false">
      <c r="A129" s="15" t="n">
        <v>128</v>
      </c>
      <c r="B129" s="16" t="n">
        <f aca="false">IF(YEAR(DATE(Calcolo!$B$4,1,1)+127)=Calcolo!$B$4,DATE(Calcolo!$B$4,1,1)+127,"")</f>
        <v>45785</v>
      </c>
      <c r="C129" s="17" t="n">
        <f aca="false">IF(B129="","",Calcolo!$B$5+SUMIFS(Calcolo!$C$16:$C$515,Calcolo!$A$16:$A$515,"&gt;="&amp;DATE(Calcolo!$B$4,1,1),Calcolo!$A$16:$A$515,"&lt;="&amp;B129))</f>
        <v>2700</v>
      </c>
      <c r="D129" s="17" t="n">
        <f aca="false">IF(B129="",0,IF(Calcolo!$B$7="SI",MAX(0,C129),C129))</f>
        <v>2700</v>
      </c>
    </row>
    <row r="130" customFormat="false" ht="15" hidden="false" customHeight="false" outlineLevel="0" collapsed="false">
      <c r="A130" s="15" t="n">
        <v>129</v>
      </c>
      <c r="B130" s="16" t="n">
        <f aca="false">IF(YEAR(DATE(Calcolo!$B$4,1,1)+128)=Calcolo!$B$4,DATE(Calcolo!$B$4,1,1)+128,"")</f>
        <v>45786</v>
      </c>
      <c r="C130" s="17" t="n">
        <f aca="false">IF(B130="","",Calcolo!$B$5+SUMIFS(Calcolo!$C$16:$C$515,Calcolo!$A$16:$A$515,"&gt;="&amp;DATE(Calcolo!$B$4,1,1),Calcolo!$A$16:$A$515,"&lt;="&amp;B130))</f>
        <v>2700</v>
      </c>
      <c r="D130" s="17" t="n">
        <f aca="false">IF(B130="",0,IF(Calcolo!$B$7="SI",MAX(0,C130),C130))</f>
        <v>2700</v>
      </c>
    </row>
    <row r="131" customFormat="false" ht="15" hidden="false" customHeight="false" outlineLevel="0" collapsed="false">
      <c r="A131" s="15" t="n">
        <v>130</v>
      </c>
      <c r="B131" s="16" t="n">
        <f aca="false">IF(YEAR(DATE(Calcolo!$B$4,1,1)+129)=Calcolo!$B$4,DATE(Calcolo!$B$4,1,1)+129,"")</f>
        <v>45787</v>
      </c>
      <c r="C131" s="17" t="n">
        <f aca="false">IF(B131="","",Calcolo!$B$5+SUMIFS(Calcolo!$C$16:$C$515,Calcolo!$A$16:$A$515,"&gt;="&amp;DATE(Calcolo!$B$4,1,1),Calcolo!$A$16:$A$515,"&lt;="&amp;B131))</f>
        <v>2700</v>
      </c>
      <c r="D131" s="17" t="n">
        <f aca="false">IF(B131="",0,IF(Calcolo!$B$7="SI",MAX(0,C131),C131))</f>
        <v>2700</v>
      </c>
    </row>
    <row r="132" customFormat="false" ht="15" hidden="false" customHeight="false" outlineLevel="0" collapsed="false">
      <c r="A132" s="15" t="n">
        <v>131</v>
      </c>
      <c r="B132" s="16" t="n">
        <f aca="false">IF(YEAR(DATE(Calcolo!$B$4,1,1)+130)=Calcolo!$B$4,DATE(Calcolo!$B$4,1,1)+130,"")</f>
        <v>45788</v>
      </c>
      <c r="C132" s="17" t="n">
        <f aca="false">IF(B132="","",Calcolo!$B$5+SUMIFS(Calcolo!$C$16:$C$515,Calcolo!$A$16:$A$515,"&gt;="&amp;DATE(Calcolo!$B$4,1,1),Calcolo!$A$16:$A$515,"&lt;="&amp;B132))</f>
        <v>2700</v>
      </c>
      <c r="D132" s="17" t="n">
        <f aca="false">IF(B132="",0,IF(Calcolo!$B$7="SI",MAX(0,C132),C132))</f>
        <v>2700</v>
      </c>
    </row>
    <row r="133" customFormat="false" ht="15" hidden="false" customHeight="false" outlineLevel="0" collapsed="false">
      <c r="A133" s="15" t="n">
        <v>132</v>
      </c>
      <c r="B133" s="16" t="n">
        <f aca="false">IF(YEAR(DATE(Calcolo!$B$4,1,1)+131)=Calcolo!$B$4,DATE(Calcolo!$B$4,1,1)+131,"")</f>
        <v>45789</v>
      </c>
      <c r="C133" s="17" t="n">
        <f aca="false">IF(B133="","",Calcolo!$B$5+SUMIFS(Calcolo!$C$16:$C$515,Calcolo!$A$16:$A$515,"&gt;="&amp;DATE(Calcolo!$B$4,1,1),Calcolo!$A$16:$A$515,"&lt;="&amp;B133))</f>
        <v>2700</v>
      </c>
      <c r="D133" s="17" t="n">
        <f aca="false">IF(B133="",0,IF(Calcolo!$B$7="SI",MAX(0,C133),C133))</f>
        <v>2700</v>
      </c>
    </row>
    <row r="134" customFormat="false" ht="15" hidden="false" customHeight="false" outlineLevel="0" collapsed="false">
      <c r="A134" s="15" t="n">
        <v>133</v>
      </c>
      <c r="B134" s="16" t="n">
        <f aca="false">IF(YEAR(DATE(Calcolo!$B$4,1,1)+132)=Calcolo!$B$4,DATE(Calcolo!$B$4,1,1)+132,"")</f>
        <v>45790</v>
      </c>
      <c r="C134" s="17" t="n">
        <f aca="false">IF(B134="","",Calcolo!$B$5+SUMIFS(Calcolo!$C$16:$C$515,Calcolo!$A$16:$A$515,"&gt;="&amp;DATE(Calcolo!$B$4,1,1),Calcolo!$A$16:$A$515,"&lt;="&amp;B134))</f>
        <v>2700</v>
      </c>
      <c r="D134" s="17" t="n">
        <f aca="false">IF(B134="",0,IF(Calcolo!$B$7="SI",MAX(0,C134),C134))</f>
        <v>2700</v>
      </c>
    </row>
    <row r="135" customFormat="false" ht="15" hidden="false" customHeight="false" outlineLevel="0" collapsed="false">
      <c r="A135" s="15" t="n">
        <v>134</v>
      </c>
      <c r="B135" s="16" t="n">
        <f aca="false">IF(YEAR(DATE(Calcolo!$B$4,1,1)+133)=Calcolo!$B$4,DATE(Calcolo!$B$4,1,1)+133,"")</f>
        <v>45791</v>
      </c>
      <c r="C135" s="17" t="n">
        <f aca="false">IF(B135="","",Calcolo!$B$5+SUMIFS(Calcolo!$C$16:$C$515,Calcolo!$A$16:$A$515,"&gt;="&amp;DATE(Calcolo!$B$4,1,1),Calcolo!$A$16:$A$515,"&lt;="&amp;B135))</f>
        <v>2700</v>
      </c>
      <c r="D135" s="17" t="n">
        <f aca="false">IF(B135="",0,IF(Calcolo!$B$7="SI",MAX(0,C135),C135))</f>
        <v>2700</v>
      </c>
    </row>
    <row r="136" customFormat="false" ht="15" hidden="false" customHeight="false" outlineLevel="0" collapsed="false">
      <c r="A136" s="15" t="n">
        <v>135</v>
      </c>
      <c r="B136" s="16" t="n">
        <f aca="false">IF(YEAR(DATE(Calcolo!$B$4,1,1)+134)=Calcolo!$B$4,DATE(Calcolo!$B$4,1,1)+134,"")</f>
        <v>45792</v>
      </c>
      <c r="C136" s="17" t="n">
        <f aca="false">IF(B136="","",Calcolo!$B$5+SUMIFS(Calcolo!$C$16:$C$515,Calcolo!$A$16:$A$515,"&gt;="&amp;DATE(Calcolo!$B$4,1,1),Calcolo!$A$16:$A$515,"&lt;="&amp;B136))</f>
        <v>2700</v>
      </c>
      <c r="D136" s="17" t="n">
        <f aca="false">IF(B136="",0,IF(Calcolo!$B$7="SI",MAX(0,C136),C136))</f>
        <v>2700</v>
      </c>
    </row>
    <row r="137" customFormat="false" ht="15" hidden="false" customHeight="false" outlineLevel="0" collapsed="false">
      <c r="A137" s="15" t="n">
        <v>136</v>
      </c>
      <c r="B137" s="16" t="n">
        <f aca="false">IF(YEAR(DATE(Calcolo!$B$4,1,1)+135)=Calcolo!$B$4,DATE(Calcolo!$B$4,1,1)+135,"")</f>
        <v>45793</v>
      </c>
      <c r="C137" s="17" t="n">
        <f aca="false">IF(B137="","",Calcolo!$B$5+SUMIFS(Calcolo!$C$16:$C$515,Calcolo!$A$16:$A$515,"&gt;="&amp;DATE(Calcolo!$B$4,1,1),Calcolo!$A$16:$A$515,"&lt;="&amp;B137))</f>
        <v>2700</v>
      </c>
      <c r="D137" s="17" t="n">
        <f aca="false">IF(B137="",0,IF(Calcolo!$B$7="SI",MAX(0,C137),C137))</f>
        <v>2700</v>
      </c>
    </row>
    <row r="138" customFormat="false" ht="15" hidden="false" customHeight="false" outlineLevel="0" collapsed="false">
      <c r="A138" s="15" t="n">
        <v>137</v>
      </c>
      <c r="B138" s="16" t="n">
        <f aca="false">IF(YEAR(DATE(Calcolo!$B$4,1,1)+136)=Calcolo!$B$4,DATE(Calcolo!$B$4,1,1)+136,"")</f>
        <v>45794</v>
      </c>
      <c r="C138" s="17" t="n">
        <f aca="false">IF(B138="","",Calcolo!$B$5+SUMIFS(Calcolo!$C$16:$C$515,Calcolo!$A$16:$A$515,"&gt;="&amp;DATE(Calcolo!$B$4,1,1),Calcolo!$A$16:$A$515,"&lt;="&amp;B138))</f>
        <v>2700</v>
      </c>
      <c r="D138" s="17" t="n">
        <f aca="false">IF(B138="",0,IF(Calcolo!$B$7="SI",MAX(0,C138),C138))</f>
        <v>2700</v>
      </c>
    </row>
    <row r="139" customFormat="false" ht="15" hidden="false" customHeight="false" outlineLevel="0" collapsed="false">
      <c r="A139" s="15" t="n">
        <v>138</v>
      </c>
      <c r="B139" s="16" t="n">
        <f aca="false">IF(YEAR(DATE(Calcolo!$B$4,1,1)+137)=Calcolo!$B$4,DATE(Calcolo!$B$4,1,1)+137,"")</f>
        <v>45795</v>
      </c>
      <c r="C139" s="17" t="n">
        <f aca="false">IF(B139="","",Calcolo!$B$5+SUMIFS(Calcolo!$C$16:$C$515,Calcolo!$A$16:$A$515,"&gt;="&amp;DATE(Calcolo!$B$4,1,1),Calcolo!$A$16:$A$515,"&lt;="&amp;B139))</f>
        <v>2700</v>
      </c>
      <c r="D139" s="17" t="n">
        <f aca="false">IF(B139="",0,IF(Calcolo!$B$7="SI",MAX(0,C139),C139))</f>
        <v>2700</v>
      </c>
    </row>
    <row r="140" customFormat="false" ht="15" hidden="false" customHeight="false" outlineLevel="0" collapsed="false">
      <c r="A140" s="15" t="n">
        <v>139</v>
      </c>
      <c r="B140" s="16" t="n">
        <f aca="false">IF(YEAR(DATE(Calcolo!$B$4,1,1)+138)=Calcolo!$B$4,DATE(Calcolo!$B$4,1,1)+138,"")</f>
        <v>45796</v>
      </c>
      <c r="C140" s="17" t="n">
        <f aca="false">IF(B140="","",Calcolo!$B$5+SUMIFS(Calcolo!$C$16:$C$515,Calcolo!$A$16:$A$515,"&gt;="&amp;DATE(Calcolo!$B$4,1,1),Calcolo!$A$16:$A$515,"&lt;="&amp;B140))</f>
        <v>2700</v>
      </c>
      <c r="D140" s="17" t="n">
        <f aca="false">IF(B140="",0,IF(Calcolo!$B$7="SI",MAX(0,C140),C140))</f>
        <v>2700</v>
      </c>
    </row>
    <row r="141" customFormat="false" ht="15" hidden="false" customHeight="false" outlineLevel="0" collapsed="false">
      <c r="A141" s="15" t="n">
        <v>140</v>
      </c>
      <c r="B141" s="16" t="n">
        <f aca="false">IF(YEAR(DATE(Calcolo!$B$4,1,1)+139)=Calcolo!$B$4,DATE(Calcolo!$B$4,1,1)+139,"")</f>
        <v>45797</v>
      </c>
      <c r="C141" s="17" t="n">
        <f aca="false">IF(B141="","",Calcolo!$B$5+SUMIFS(Calcolo!$C$16:$C$515,Calcolo!$A$16:$A$515,"&gt;="&amp;DATE(Calcolo!$B$4,1,1),Calcolo!$A$16:$A$515,"&lt;="&amp;B141))</f>
        <v>2700</v>
      </c>
      <c r="D141" s="17" t="n">
        <f aca="false">IF(B141="",0,IF(Calcolo!$B$7="SI",MAX(0,C141),C141))</f>
        <v>2700</v>
      </c>
    </row>
    <row r="142" customFormat="false" ht="15" hidden="false" customHeight="false" outlineLevel="0" collapsed="false">
      <c r="A142" s="15" t="n">
        <v>141</v>
      </c>
      <c r="B142" s="16" t="n">
        <f aca="false">IF(YEAR(DATE(Calcolo!$B$4,1,1)+140)=Calcolo!$B$4,DATE(Calcolo!$B$4,1,1)+140,"")</f>
        <v>45798</v>
      </c>
      <c r="C142" s="17" t="n">
        <f aca="false">IF(B142="","",Calcolo!$B$5+SUMIFS(Calcolo!$C$16:$C$515,Calcolo!$A$16:$A$515,"&gt;="&amp;DATE(Calcolo!$B$4,1,1),Calcolo!$A$16:$A$515,"&lt;="&amp;B142))</f>
        <v>2700</v>
      </c>
      <c r="D142" s="17" t="n">
        <f aca="false">IF(B142="",0,IF(Calcolo!$B$7="SI",MAX(0,C142),C142))</f>
        <v>2700</v>
      </c>
    </row>
    <row r="143" customFormat="false" ht="15" hidden="false" customHeight="false" outlineLevel="0" collapsed="false">
      <c r="A143" s="15" t="n">
        <v>142</v>
      </c>
      <c r="B143" s="16" t="n">
        <f aca="false">IF(YEAR(DATE(Calcolo!$B$4,1,1)+141)=Calcolo!$B$4,DATE(Calcolo!$B$4,1,1)+141,"")</f>
        <v>45799</v>
      </c>
      <c r="C143" s="17" t="n">
        <f aca="false">IF(B143="","",Calcolo!$B$5+SUMIFS(Calcolo!$C$16:$C$515,Calcolo!$A$16:$A$515,"&gt;="&amp;DATE(Calcolo!$B$4,1,1),Calcolo!$A$16:$A$515,"&lt;="&amp;B143))</f>
        <v>2700</v>
      </c>
      <c r="D143" s="17" t="n">
        <f aca="false">IF(B143="",0,IF(Calcolo!$B$7="SI",MAX(0,C143),C143))</f>
        <v>2700</v>
      </c>
    </row>
    <row r="144" customFormat="false" ht="15" hidden="false" customHeight="false" outlineLevel="0" collapsed="false">
      <c r="A144" s="15" t="n">
        <v>143</v>
      </c>
      <c r="B144" s="16" t="n">
        <f aca="false">IF(YEAR(DATE(Calcolo!$B$4,1,1)+142)=Calcolo!$B$4,DATE(Calcolo!$B$4,1,1)+142,"")</f>
        <v>45800</v>
      </c>
      <c r="C144" s="17" t="n">
        <f aca="false">IF(B144="","",Calcolo!$B$5+SUMIFS(Calcolo!$C$16:$C$515,Calcolo!$A$16:$A$515,"&gt;="&amp;DATE(Calcolo!$B$4,1,1),Calcolo!$A$16:$A$515,"&lt;="&amp;B144))</f>
        <v>2700</v>
      </c>
      <c r="D144" s="17" t="n">
        <f aca="false">IF(B144="",0,IF(Calcolo!$B$7="SI",MAX(0,C144),C144))</f>
        <v>2700</v>
      </c>
    </row>
    <row r="145" customFormat="false" ht="15" hidden="false" customHeight="false" outlineLevel="0" collapsed="false">
      <c r="A145" s="15" t="n">
        <v>144</v>
      </c>
      <c r="B145" s="16" t="n">
        <f aca="false">IF(YEAR(DATE(Calcolo!$B$4,1,1)+143)=Calcolo!$B$4,DATE(Calcolo!$B$4,1,1)+143,"")</f>
        <v>45801</v>
      </c>
      <c r="C145" s="17" t="n">
        <f aca="false">IF(B145="","",Calcolo!$B$5+SUMIFS(Calcolo!$C$16:$C$515,Calcolo!$A$16:$A$515,"&gt;="&amp;DATE(Calcolo!$B$4,1,1),Calcolo!$A$16:$A$515,"&lt;="&amp;B145))</f>
        <v>2700</v>
      </c>
      <c r="D145" s="17" t="n">
        <f aca="false">IF(B145="",0,IF(Calcolo!$B$7="SI",MAX(0,C145),C145))</f>
        <v>2700</v>
      </c>
    </row>
    <row r="146" customFormat="false" ht="15" hidden="false" customHeight="false" outlineLevel="0" collapsed="false">
      <c r="A146" s="15" t="n">
        <v>145</v>
      </c>
      <c r="B146" s="16" t="n">
        <f aca="false">IF(YEAR(DATE(Calcolo!$B$4,1,1)+144)=Calcolo!$B$4,DATE(Calcolo!$B$4,1,1)+144,"")</f>
        <v>45802</v>
      </c>
      <c r="C146" s="17" t="n">
        <f aca="false">IF(B146="","",Calcolo!$B$5+SUMIFS(Calcolo!$C$16:$C$515,Calcolo!$A$16:$A$515,"&gt;="&amp;DATE(Calcolo!$B$4,1,1),Calcolo!$A$16:$A$515,"&lt;="&amp;B146))</f>
        <v>2700</v>
      </c>
      <c r="D146" s="17" t="n">
        <f aca="false">IF(B146="",0,IF(Calcolo!$B$7="SI",MAX(0,C146),C146))</f>
        <v>2700</v>
      </c>
    </row>
    <row r="147" customFormat="false" ht="15" hidden="false" customHeight="false" outlineLevel="0" collapsed="false">
      <c r="A147" s="15" t="n">
        <v>146</v>
      </c>
      <c r="B147" s="16" t="n">
        <f aca="false">IF(YEAR(DATE(Calcolo!$B$4,1,1)+145)=Calcolo!$B$4,DATE(Calcolo!$B$4,1,1)+145,"")</f>
        <v>45803</v>
      </c>
      <c r="C147" s="17" t="n">
        <f aca="false">IF(B147="","",Calcolo!$B$5+SUMIFS(Calcolo!$C$16:$C$515,Calcolo!$A$16:$A$515,"&gt;="&amp;DATE(Calcolo!$B$4,1,1),Calcolo!$A$16:$A$515,"&lt;="&amp;B147))</f>
        <v>2700</v>
      </c>
      <c r="D147" s="17" t="n">
        <f aca="false">IF(B147="",0,IF(Calcolo!$B$7="SI",MAX(0,C147),C147))</f>
        <v>2700</v>
      </c>
    </row>
    <row r="148" customFormat="false" ht="15" hidden="false" customHeight="false" outlineLevel="0" collapsed="false">
      <c r="A148" s="15" t="n">
        <v>147</v>
      </c>
      <c r="B148" s="16" t="n">
        <f aca="false">IF(YEAR(DATE(Calcolo!$B$4,1,1)+146)=Calcolo!$B$4,DATE(Calcolo!$B$4,1,1)+146,"")</f>
        <v>45804</v>
      </c>
      <c r="C148" s="17" t="n">
        <f aca="false">IF(B148="","",Calcolo!$B$5+SUMIFS(Calcolo!$C$16:$C$515,Calcolo!$A$16:$A$515,"&gt;="&amp;DATE(Calcolo!$B$4,1,1),Calcolo!$A$16:$A$515,"&lt;="&amp;B148))</f>
        <v>2700</v>
      </c>
      <c r="D148" s="17" t="n">
        <f aca="false">IF(B148="",0,IF(Calcolo!$B$7="SI",MAX(0,C148),C148))</f>
        <v>2700</v>
      </c>
    </row>
    <row r="149" customFormat="false" ht="15" hidden="false" customHeight="false" outlineLevel="0" collapsed="false">
      <c r="A149" s="15" t="n">
        <v>148</v>
      </c>
      <c r="B149" s="16" t="n">
        <f aca="false">IF(YEAR(DATE(Calcolo!$B$4,1,1)+147)=Calcolo!$B$4,DATE(Calcolo!$B$4,1,1)+147,"")</f>
        <v>45805</v>
      </c>
      <c r="C149" s="17" t="n">
        <f aca="false">IF(B149="","",Calcolo!$B$5+SUMIFS(Calcolo!$C$16:$C$515,Calcolo!$A$16:$A$515,"&gt;="&amp;DATE(Calcolo!$B$4,1,1),Calcolo!$A$16:$A$515,"&lt;="&amp;B149))</f>
        <v>2700</v>
      </c>
      <c r="D149" s="17" t="n">
        <f aca="false">IF(B149="",0,IF(Calcolo!$B$7="SI",MAX(0,C149),C149))</f>
        <v>2700</v>
      </c>
    </row>
    <row r="150" customFormat="false" ht="15" hidden="false" customHeight="false" outlineLevel="0" collapsed="false">
      <c r="A150" s="15" t="n">
        <v>149</v>
      </c>
      <c r="B150" s="16" t="n">
        <f aca="false">IF(YEAR(DATE(Calcolo!$B$4,1,1)+148)=Calcolo!$B$4,DATE(Calcolo!$B$4,1,1)+148,"")</f>
        <v>45806</v>
      </c>
      <c r="C150" s="17" t="n">
        <f aca="false">IF(B150="","",Calcolo!$B$5+SUMIFS(Calcolo!$C$16:$C$515,Calcolo!$A$16:$A$515,"&gt;="&amp;DATE(Calcolo!$B$4,1,1),Calcolo!$A$16:$A$515,"&lt;="&amp;B150))</f>
        <v>2700</v>
      </c>
      <c r="D150" s="17" t="n">
        <f aca="false">IF(B150="",0,IF(Calcolo!$B$7="SI",MAX(0,C150),C150))</f>
        <v>2700</v>
      </c>
    </row>
    <row r="151" customFormat="false" ht="15" hidden="false" customHeight="false" outlineLevel="0" collapsed="false">
      <c r="A151" s="15" t="n">
        <v>150</v>
      </c>
      <c r="B151" s="16" t="n">
        <f aca="false">IF(YEAR(DATE(Calcolo!$B$4,1,1)+149)=Calcolo!$B$4,DATE(Calcolo!$B$4,1,1)+149,"")</f>
        <v>45807</v>
      </c>
      <c r="C151" s="17" t="n">
        <f aca="false">IF(B151="","",Calcolo!$B$5+SUMIFS(Calcolo!$C$16:$C$515,Calcolo!$A$16:$A$515,"&gt;="&amp;DATE(Calcolo!$B$4,1,1),Calcolo!$A$16:$A$515,"&lt;="&amp;B151))</f>
        <v>2700</v>
      </c>
      <c r="D151" s="17" t="n">
        <f aca="false">IF(B151="",0,IF(Calcolo!$B$7="SI",MAX(0,C151),C151))</f>
        <v>2700</v>
      </c>
    </row>
    <row r="152" customFormat="false" ht="15" hidden="false" customHeight="false" outlineLevel="0" collapsed="false">
      <c r="A152" s="15" t="n">
        <v>151</v>
      </c>
      <c r="B152" s="16" t="n">
        <f aca="false">IF(YEAR(DATE(Calcolo!$B$4,1,1)+150)=Calcolo!$B$4,DATE(Calcolo!$B$4,1,1)+150,"")</f>
        <v>45808</v>
      </c>
      <c r="C152" s="17" t="n">
        <f aca="false">IF(B152="","",Calcolo!$B$5+SUMIFS(Calcolo!$C$16:$C$515,Calcolo!$A$16:$A$515,"&gt;="&amp;DATE(Calcolo!$B$4,1,1),Calcolo!$A$16:$A$515,"&lt;="&amp;B152))</f>
        <v>2700</v>
      </c>
      <c r="D152" s="17" t="n">
        <f aca="false">IF(B152="",0,IF(Calcolo!$B$7="SI",MAX(0,C152),C152))</f>
        <v>2700</v>
      </c>
    </row>
    <row r="153" customFormat="false" ht="15" hidden="false" customHeight="false" outlineLevel="0" collapsed="false">
      <c r="A153" s="15" t="n">
        <v>152</v>
      </c>
      <c r="B153" s="16" t="n">
        <f aca="false">IF(YEAR(DATE(Calcolo!$B$4,1,1)+151)=Calcolo!$B$4,DATE(Calcolo!$B$4,1,1)+151,"")</f>
        <v>45809</v>
      </c>
      <c r="C153" s="17" t="n">
        <f aca="false">IF(B153="","",Calcolo!$B$5+SUMIFS(Calcolo!$C$16:$C$515,Calcolo!$A$16:$A$515,"&gt;="&amp;DATE(Calcolo!$B$4,1,1),Calcolo!$A$16:$A$515,"&lt;="&amp;B153))</f>
        <v>2700</v>
      </c>
      <c r="D153" s="17" t="n">
        <f aca="false">IF(B153="",0,IF(Calcolo!$B$7="SI",MAX(0,C153),C153))</f>
        <v>2700</v>
      </c>
    </row>
    <row r="154" customFormat="false" ht="15" hidden="false" customHeight="false" outlineLevel="0" collapsed="false">
      <c r="A154" s="15" t="n">
        <v>153</v>
      </c>
      <c r="B154" s="16" t="n">
        <f aca="false">IF(YEAR(DATE(Calcolo!$B$4,1,1)+152)=Calcolo!$B$4,DATE(Calcolo!$B$4,1,1)+152,"")</f>
        <v>45810</v>
      </c>
      <c r="C154" s="17" t="n">
        <f aca="false">IF(B154="","",Calcolo!$B$5+SUMIFS(Calcolo!$C$16:$C$515,Calcolo!$A$16:$A$515,"&gt;="&amp;DATE(Calcolo!$B$4,1,1),Calcolo!$A$16:$A$515,"&lt;="&amp;B154))</f>
        <v>2700</v>
      </c>
      <c r="D154" s="17" t="n">
        <f aca="false">IF(B154="",0,IF(Calcolo!$B$7="SI",MAX(0,C154),C154))</f>
        <v>2700</v>
      </c>
    </row>
    <row r="155" customFormat="false" ht="15" hidden="false" customHeight="false" outlineLevel="0" collapsed="false">
      <c r="A155" s="15" t="n">
        <v>154</v>
      </c>
      <c r="B155" s="16" t="n">
        <f aca="false">IF(YEAR(DATE(Calcolo!$B$4,1,1)+153)=Calcolo!$B$4,DATE(Calcolo!$B$4,1,1)+153,"")</f>
        <v>45811</v>
      </c>
      <c r="C155" s="17" t="n">
        <f aca="false">IF(B155="","",Calcolo!$B$5+SUMIFS(Calcolo!$C$16:$C$515,Calcolo!$A$16:$A$515,"&gt;="&amp;DATE(Calcolo!$B$4,1,1),Calcolo!$A$16:$A$515,"&lt;="&amp;B155))</f>
        <v>2700</v>
      </c>
      <c r="D155" s="17" t="n">
        <f aca="false">IF(B155="",0,IF(Calcolo!$B$7="SI",MAX(0,C155),C155))</f>
        <v>2700</v>
      </c>
    </row>
    <row r="156" customFormat="false" ht="15" hidden="false" customHeight="false" outlineLevel="0" collapsed="false">
      <c r="A156" s="15" t="n">
        <v>155</v>
      </c>
      <c r="B156" s="16" t="n">
        <f aca="false">IF(YEAR(DATE(Calcolo!$B$4,1,1)+154)=Calcolo!$B$4,DATE(Calcolo!$B$4,1,1)+154,"")</f>
        <v>45812</v>
      </c>
      <c r="C156" s="17" t="n">
        <f aca="false">IF(B156="","",Calcolo!$B$5+SUMIFS(Calcolo!$C$16:$C$515,Calcolo!$A$16:$A$515,"&gt;="&amp;DATE(Calcolo!$B$4,1,1),Calcolo!$A$16:$A$515,"&lt;="&amp;B156))</f>
        <v>2700</v>
      </c>
      <c r="D156" s="17" t="n">
        <f aca="false">IF(B156="",0,IF(Calcolo!$B$7="SI",MAX(0,C156),C156))</f>
        <v>2700</v>
      </c>
    </row>
    <row r="157" customFormat="false" ht="15" hidden="false" customHeight="false" outlineLevel="0" collapsed="false">
      <c r="A157" s="15" t="n">
        <v>156</v>
      </c>
      <c r="B157" s="16" t="n">
        <f aca="false">IF(YEAR(DATE(Calcolo!$B$4,1,1)+155)=Calcolo!$B$4,DATE(Calcolo!$B$4,1,1)+155,"")</f>
        <v>45813</v>
      </c>
      <c r="C157" s="17" t="n">
        <f aca="false">IF(B157="","",Calcolo!$B$5+SUMIFS(Calcolo!$C$16:$C$515,Calcolo!$A$16:$A$515,"&gt;="&amp;DATE(Calcolo!$B$4,1,1),Calcolo!$A$16:$A$515,"&lt;="&amp;B157))</f>
        <v>2700</v>
      </c>
      <c r="D157" s="17" t="n">
        <f aca="false">IF(B157="",0,IF(Calcolo!$B$7="SI",MAX(0,C157),C157))</f>
        <v>2700</v>
      </c>
    </row>
    <row r="158" customFormat="false" ht="15" hidden="false" customHeight="false" outlineLevel="0" collapsed="false">
      <c r="A158" s="15" t="n">
        <v>157</v>
      </c>
      <c r="B158" s="16" t="n">
        <f aca="false">IF(YEAR(DATE(Calcolo!$B$4,1,1)+156)=Calcolo!$B$4,DATE(Calcolo!$B$4,1,1)+156,"")</f>
        <v>45814</v>
      </c>
      <c r="C158" s="17" t="n">
        <f aca="false">IF(B158="","",Calcolo!$B$5+SUMIFS(Calcolo!$C$16:$C$515,Calcolo!$A$16:$A$515,"&gt;="&amp;DATE(Calcolo!$B$4,1,1),Calcolo!$A$16:$A$515,"&lt;="&amp;B158))</f>
        <v>2700</v>
      </c>
      <c r="D158" s="17" t="n">
        <f aca="false">IF(B158="",0,IF(Calcolo!$B$7="SI",MAX(0,C158),C158))</f>
        <v>2700</v>
      </c>
    </row>
    <row r="159" customFormat="false" ht="15" hidden="false" customHeight="false" outlineLevel="0" collapsed="false">
      <c r="A159" s="15" t="n">
        <v>158</v>
      </c>
      <c r="B159" s="16" t="n">
        <f aca="false">IF(YEAR(DATE(Calcolo!$B$4,1,1)+157)=Calcolo!$B$4,DATE(Calcolo!$B$4,1,1)+157,"")</f>
        <v>45815</v>
      </c>
      <c r="C159" s="17" t="n">
        <f aca="false">IF(B159="","",Calcolo!$B$5+SUMIFS(Calcolo!$C$16:$C$515,Calcolo!$A$16:$A$515,"&gt;="&amp;DATE(Calcolo!$B$4,1,1),Calcolo!$A$16:$A$515,"&lt;="&amp;B159))</f>
        <v>2700</v>
      </c>
      <c r="D159" s="17" t="n">
        <f aca="false">IF(B159="",0,IF(Calcolo!$B$7="SI",MAX(0,C159),C159))</f>
        <v>2700</v>
      </c>
    </row>
    <row r="160" customFormat="false" ht="15" hidden="false" customHeight="false" outlineLevel="0" collapsed="false">
      <c r="A160" s="15" t="n">
        <v>159</v>
      </c>
      <c r="B160" s="16" t="n">
        <f aca="false">IF(YEAR(DATE(Calcolo!$B$4,1,1)+158)=Calcolo!$B$4,DATE(Calcolo!$B$4,1,1)+158,"")</f>
        <v>45816</v>
      </c>
      <c r="C160" s="17" t="n">
        <f aca="false">IF(B160="","",Calcolo!$B$5+SUMIFS(Calcolo!$C$16:$C$515,Calcolo!$A$16:$A$515,"&gt;="&amp;DATE(Calcolo!$B$4,1,1),Calcolo!$A$16:$A$515,"&lt;="&amp;B160))</f>
        <v>2700</v>
      </c>
      <c r="D160" s="17" t="n">
        <f aca="false">IF(B160="",0,IF(Calcolo!$B$7="SI",MAX(0,C160),C160))</f>
        <v>2700</v>
      </c>
    </row>
    <row r="161" customFormat="false" ht="15" hidden="false" customHeight="false" outlineLevel="0" collapsed="false">
      <c r="A161" s="15" t="n">
        <v>160</v>
      </c>
      <c r="B161" s="16" t="n">
        <f aca="false">IF(YEAR(DATE(Calcolo!$B$4,1,1)+159)=Calcolo!$B$4,DATE(Calcolo!$B$4,1,1)+159,"")</f>
        <v>45817</v>
      </c>
      <c r="C161" s="17" t="n">
        <f aca="false">IF(B161="","",Calcolo!$B$5+SUMIFS(Calcolo!$C$16:$C$515,Calcolo!$A$16:$A$515,"&gt;="&amp;DATE(Calcolo!$B$4,1,1),Calcolo!$A$16:$A$515,"&lt;="&amp;B161))</f>
        <v>2700</v>
      </c>
      <c r="D161" s="17" t="n">
        <f aca="false">IF(B161="",0,IF(Calcolo!$B$7="SI",MAX(0,C161),C161))</f>
        <v>2700</v>
      </c>
    </row>
    <row r="162" customFormat="false" ht="15" hidden="false" customHeight="false" outlineLevel="0" collapsed="false">
      <c r="A162" s="15" t="n">
        <v>161</v>
      </c>
      <c r="B162" s="16" t="n">
        <f aca="false">IF(YEAR(DATE(Calcolo!$B$4,1,1)+160)=Calcolo!$B$4,DATE(Calcolo!$B$4,1,1)+160,"")</f>
        <v>45818</v>
      </c>
      <c r="C162" s="17" t="n">
        <f aca="false">IF(B162="","",Calcolo!$B$5+SUMIFS(Calcolo!$C$16:$C$515,Calcolo!$A$16:$A$515,"&gt;="&amp;DATE(Calcolo!$B$4,1,1),Calcolo!$A$16:$A$515,"&lt;="&amp;B162))</f>
        <v>2700</v>
      </c>
      <c r="D162" s="17" t="n">
        <f aca="false">IF(B162="",0,IF(Calcolo!$B$7="SI",MAX(0,C162),C162))</f>
        <v>2700</v>
      </c>
    </row>
    <row r="163" customFormat="false" ht="15" hidden="false" customHeight="false" outlineLevel="0" collapsed="false">
      <c r="A163" s="15" t="n">
        <v>162</v>
      </c>
      <c r="B163" s="16" t="n">
        <f aca="false">IF(YEAR(DATE(Calcolo!$B$4,1,1)+161)=Calcolo!$B$4,DATE(Calcolo!$B$4,1,1)+161,"")</f>
        <v>45819</v>
      </c>
      <c r="C163" s="17" t="n">
        <f aca="false">IF(B163="","",Calcolo!$B$5+SUMIFS(Calcolo!$C$16:$C$515,Calcolo!$A$16:$A$515,"&gt;="&amp;DATE(Calcolo!$B$4,1,1),Calcolo!$A$16:$A$515,"&lt;="&amp;B163))</f>
        <v>2700</v>
      </c>
      <c r="D163" s="17" t="n">
        <f aca="false">IF(B163="",0,IF(Calcolo!$B$7="SI",MAX(0,C163),C163))</f>
        <v>2700</v>
      </c>
    </row>
    <row r="164" customFormat="false" ht="15" hidden="false" customHeight="false" outlineLevel="0" collapsed="false">
      <c r="A164" s="15" t="n">
        <v>163</v>
      </c>
      <c r="B164" s="16" t="n">
        <f aca="false">IF(YEAR(DATE(Calcolo!$B$4,1,1)+162)=Calcolo!$B$4,DATE(Calcolo!$B$4,1,1)+162,"")</f>
        <v>45820</v>
      </c>
      <c r="C164" s="17" t="n">
        <f aca="false">IF(B164="","",Calcolo!$B$5+SUMIFS(Calcolo!$C$16:$C$515,Calcolo!$A$16:$A$515,"&gt;="&amp;DATE(Calcolo!$B$4,1,1),Calcolo!$A$16:$A$515,"&lt;="&amp;B164))</f>
        <v>2700</v>
      </c>
      <c r="D164" s="17" t="n">
        <f aca="false">IF(B164="",0,IF(Calcolo!$B$7="SI",MAX(0,C164),C164))</f>
        <v>2700</v>
      </c>
    </row>
    <row r="165" customFormat="false" ht="15" hidden="false" customHeight="false" outlineLevel="0" collapsed="false">
      <c r="A165" s="15" t="n">
        <v>164</v>
      </c>
      <c r="B165" s="16" t="n">
        <f aca="false">IF(YEAR(DATE(Calcolo!$B$4,1,1)+163)=Calcolo!$B$4,DATE(Calcolo!$B$4,1,1)+163,"")</f>
        <v>45821</v>
      </c>
      <c r="C165" s="17" t="n">
        <f aca="false">IF(B165="","",Calcolo!$B$5+SUMIFS(Calcolo!$C$16:$C$515,Calcolo!$A$16:$A$515,"&gt;="&amp;DATE(Calcolo!$B$4,1,1),Calcolo!$A$16:$A$515,"&lt;="&amp;B165))</f>
        <v>2700</v>
      </c>
      <c r="D165" s="17" t="n">
        <f aca="false">IF(B165="",0,IF(Calcolo!$B$7="SI",MAX(0,C165),C165))</f>
        <v>2700</v>
      </c>
    </row>
    <row r="166" customFormat="false" ht="15" hidden="false" customHeight="false" outlineLevel="0" collapsed="false">
      <c r="A166" s="15" t="n">
        <v>165</v>
      </c>
      <c r="B166" s="16" t="n">
        <f aca="false">IF(YEAR(DATE(Calcolo!$B$4,1,1)+164)=Calcolo!$B$4,DATE(Calcolo!$B$4,1,1)+164,"")</f>
        <v>45822</v>
      </c>
      <c r="C166" s="17" t="n">
        <f aca="false">IF(B166="","",Calcolo!$B$5+SUMIFS(Calcolo!$C$16:$C$515,Calcolo!$A$16:$A$515,"&gt;="&amp;DATE(Calcolo!$B$4,1,1),Calcolo!$A$16:$A$515,"&lt;="&amp;B166))</f>
        <v>2700</v>
      </c>
      <c r="D166" s="17" t="n">
        <f aca="false">IF(B166="",0,IF(Calcolo!$B$7="SI",MAX(0,C166),C166))</f>
        <v>2700</v>
      </c>
    </row>
    <row r="167" customFormat="false" ht="15" hidden="false" customHeight="false" outlineLevel="0" collapsed="false">
      <c r="A167" s="15" t="n">
        <v>166</v>
      </c>
      <c r="B167" s="16" t="n">
        <f aca="false">IF(YEAR(DATE(Calcolo!$B$4,1,1)+165)=Calcolo!$B$4,DATE(Calcolo!$B$4,1,1)+165,"")</f>
        <v>45823</v>
      </c>
      <c r="C167" s="17" t="n">
        <f aca="false">IF(B167="","",Calcolo!$B$5+SUMIFS(Calcolo!$C$16:$C$515,Calcolo!$A$16:$A$515,"&gt;="&amp;DATE(Calcolo!$B$4,1,1),Calcolo!$A$16:$A$515,"&lt;="&amp;B167))</f>
        <v>2700</v>
      </c>
      <c r="D167" s="17" t="n">
        <f aca="false">IF(B167="",0,IF(Calcolo!$B$7="SI",MAX(0,C167),C167))</f>
        <v>2700</v>
      </c>
    </row>
    <row r="168" customFormat="false" ht="15" hidden="false" customHeight="false" outlineLevel="0" collapsed="false">
      <c r="A168" s="15" t="n">
        <v>167</v>
      </c>
      <c r="B168" s="16" t="n">
        <f aca="false">IF(YEAR(DATE(Calcolo!$B$4,1,1)+166)=Calcolo!$B$4,DATE(Calcolo!$B$4,1,1)+166,"")</f>
        <v>45824</v>
      </c>
      <c r="C168" s="17" t="n">
        <f aca="false">IF(B168="","",Calcolo!$B$5+SUMIFS(Calcolo!$C$16:$C$515,Calcolo!$A$16:$A$515,"&gt;="&amp;DATE(Calcolo!$B$4,1,1),Calcolo!$A$16:$A$515,"&lt;="&amp;B168))</f>
        <v>2700</v>
      </c>
      <c r="D168" s="17" t="n">
        <f aca="false">IF(B168="",0,IF(Calcolo!$B$7="SI",MAX(0,C168),C168))</f>
        <v>2700</v>
      </c>
    </row>
    <row r="169" customFormat="false" ht="15" hidden="false" customHeight="false" outlineLevel="0" collapsed="false">
      <c r="A169" s="15" t="n">
        <v>168</v>
      </c>
      <c r="B169" s="16" t="n">
        <f aca="false">IF(YEAR(DATE(Calcolo!$B$4,1,1)+167)=Calcolo!$B$4,DATE(Calcolo!$B$4,1,1)+167,"")</f>
        <v>45825</v>
      </c>
      <c r="C169" s="17" t="n">
        <f aca="false">IF(B169="","",Calcolo!$B$5+SUMIFS(Calcolo!$C$16:$C$515,Calcolo!$A$16:$A$515,"&gt;="&amp;DATE(Calcolo!$B$4,1,1),Calcolo!$A$16:$A$515,"&lt;="&amp;B169))</f>
        <v>2700</v>
      </c>
      <c r="D169" s="17" t="n">
        <f aca="false">IF(B169="",0,IF(Calcolo!$B$7="SI",MAX(0,C169),C169))</f>
        <v>2700</v>
      </c>
    </row>
    <row r="170" customFormat="false" ht="15" hidden="false" customHeight="false" outlineLevel="0" collapsed="false">
      <c r="A170" s="15" t="n">
        <v>169</v>
      </c>
      <c r="B170" s="16" t="n">
        <f aca="false">IF(YEAR(DATE(Calcolo!$B$4,1,1)+168)=Calcolo!$B$4,DATE(Calcolo!$B$4,1,1)+168,"")</f>
        <v>45826</v>
      </c>
      <c r="C170" s="17" t="n">
        <f aca="false">IF(B170="","",Calcolo!$B$5+SUMIFS(Calcolo!$C$16:$C$515,Calcolo!$A$16:$A$515,"&gt;="&amp;DATE(Calcolo!$B$4,1,1),Calcolo!$A$16:$A$515,"&lt;="&amp;B170))</f>
        <v>2700</v>
      </c>
      <c r="D170" s="17" t="n">
        <f aca="false">IF(B170="",0,IF(Calcolo!$B$7="SI",MAX(0,C170),C170))</f>
        <v>2700</v>
      </c>
    </row>
    <row r="171" customFormat="false" ht="15" hidden="false" customHeight="false" outlineLevel="0" collapsed="false">
      <c r="A171" s="15" t="n">
        <v>170</v>
      </c>
      <c r="B171" s="16" t="n">
        <f aca="false">IF(YEAR(DATE(Calcolo!$B$4,1,1)+169)=Calcolo!$B$4,DATE(Calcolo!$B$4,1,1)+169,"")</f>
        <v>45827</v>
      </c>
      <c r="C171" s="17" t="n">
        <f aca="false">IF(B171="","",Calcolo!$B$5+SUMIFS(Calcolo!$C$16:$C$515,Calcolo!$A$16:$A$515,"&gt;="&amp;DATE(Calcolo!$B$4,1,1),Calcolo!$A$16:$A$515,"&lt;="&amp;B171))</f>
        <v>2700</v>
      </c>
      <c r="D171" s="17" t="n">
        <f aca="false">IF(B171="",0,IF(Calcolo!$B$7="SI",MAX(0,C171),C171))</f>
        <v>2700</v>
      </c>
    </row>
    <row r="172" customFormat="false" ht="15" hidden="false" customHeight="false" outlineLevel="0" collapsed="false">
      <c r="A172" s="15" t="n">
        <v>171</v>
      </c>
      <c r="B172" s="16" t="n">
        <f aca="false">IF(YEAR(DATE(Calcolo!$B$4,1,1)+170)=Calcolo!$B$4,DATE(Calcolo!$B$4,1,1)+170,"")</f>
        <v>45828</v>
      </c>
      <c r="C172" s="17" t="n">
        <f aca="false">IF(B172="","",Calcolo!$B$5+SUMIFS(Calcolo!$C$16:$C$515,Calcolo!$A$16:$A$515,"&gt;="&amp;DATE(Calcolo!$B$4,1,1),Calcolo!$A$16:$A$515,"&lt;="&amp;B172))</f>
        <v>2700</v>
      </c>
      <c r="D172" s="17" t="n">
        <f aca="false">IF(B172="",0,IF(Calcolo!$B$7="SI",MAX(0,C172),C172))</f>
        <v>2700</v>
      </c>
    </row>
    <row r="173" customFormat="false" ht="15" hidden="false" customHeight="false" outlineLevel="0" collapsed="false">
      <c r="A173" s="15" t="n">
        <v>172</v>
      </c>
      <c r="B173" s="16" t="n">
        <f aca="false">IF(YEAR(DATE(Calcolo!$B$4,1,1)+171)=Calcolo!$B$4,DATE(Calcolo!$B$4,1,1)+171,"")</f>
        <v>45829</v>
      </c>
      <c r="C173" s="17" t="n">
        <f aca="false">IF(B173="","",Calcolo!$B$5+SUMIFS(Calcolo!$C$16:$C$515,Calcolo!$A$16:$A$515,"&gt;="&amp;DATE(Calcolo!$B$4,1,1),Calcolo!$A$16:$A$515,"&lt;="&amp;B173))</f>
        <v>2700</v>
      </c>
      <c r="D173" s="17" t="n">
        <f aca="false">IF(B173="",0,IF(Calcolo!$B$7="SI",MAX(0,C173),C173))</f>
        <v>2700</v>
      </c>
    </row>
    <row r="174" customFormat="false" ht="15" hidden="false" customHeight="false" outlineLevel="0" collapsed="false">
      <c r="A174" s="15" t="n">
        <v>173</v>
      </c>
      <c r="B174" s="16" t="n">
        <f aca="false">IF(YEAR(DATE(Calcolo!$B$4,1,1)+172)=Calcolo!$B$4,DATE(Calcolo!$B$4,1,1)+172,"")</f>
        <v>45830</v>
      </c>
      <c r="C174" s="17" t="n">
        <f aca="false">IF(B174="","",Calcolo!$B$5+SUMIFS(Calcolo!$C$16:$C$515,Calcolo!$A$16:$A$515,"&gt;="&amp;DATE(Calcolo!$B$4,1,1),Calcolo!$A$16:$A$515,"&lt;="&amp;B174))</f>
        <v>2700</v>
      </c>
      <c r="D174" s="17" t="n">
        <f aca="false">IF(B174="",0,IF(Calcolo!$B$7="SI",MAX(0,C174),C174))</f>
        <v>2700</v>
      </c>
    </row>
    <row r="175" customFormat="false" ht="15" hidden="false" customHeight="false" outlineLevel="0" collapsed="false">
      <c r="A175" s="15" t="n">
        <v>174</v>
      </c>
      <c r="B175" s="16" t="n">
        <f aca="false">IF(YEAR(DATE(Calcolo!$B$4,1,1)+173)=Calcolo!$B$4,DATE(Calcolo!$B$4,1,1)+173,"")</f>
        <v>45831</v>
      </c>
      <c r="C175" s="17" t="n">
        <f aca="false">IF(B175="","",Calcolo!$B$5+SUMIFS(Calcolo!$C$16:$C$515,Calcolo!$A$16:$A$515,"&gt;="&amp;DATE(Calcolo!$B$4,1,1),Calcolo!$A$16:$A$515,"&lt;="&amp;B175))</f>
        <v>2700</v>
      </c>
      <c r="D175" s="17" t="n">
        <f aca="false">IF(B175="",0,IF(Calcolo!$B$7="SI",MAX(0,C175),C175))</f>
        <v>2700</v>
      </c>
    </row>
    <row r="176" customFormat="false" ht="15" hidden="false" customHeight="false" outlineLevel="0" collapsed="false">
      <c r="A176" s="15" t="n">
        <v>175</v>
      </c>
      <c r="B176" s="16" t="n">
        <f aca="false">IF(YEAR(DATE(Calcolo!$B$4,1,1)+174)=Calcolo!$B$4,DATE(Calcolo!$B$4,1,1)+174,"")</f>
        <v>45832</v>
      </c>
      <c r="C176" s="17" t="n">
        <f aca="false">IF(B176="","",Calcolo!$B$5+SUMIFS(Calcolo!$C$16:$C$515,Calcolo!$A$16:$A$515,"&gt;="&amp;DATE(Calcolo!$B$4,1,1),Calcolo!$A$16:$A$515,"&lt;="&amp;B176))</f>
        <v>2700</v>
      </c>
      <c r="D176" s="17" t="n">
        <f aca="false">IF(B176="",0,IF(Calcolo!$B$7="SI",MAX(0,C176),C176))</f>
        <v>2700</v>
      </c>
    </row>
    <row r="177" customFormat="false" ht="15" hidden="false" customHeight="false" outlineLevel="0" collapsed="false">
      <c r="A177" s="15" t="n">
        <v>176</v>
      </c>
      <c r="B177" s="16" t="n">
        <f aca="false">IF(YEAR(DATE(Calcolo!$B$4,1,1)+175)=Calcolo!$B$4,DATE(Calcolo!$B$4,1,1)+175,"")</f>
        <v>45833</v>
      </c>
      <c r="C177" s="17" t="n">
        <f aca="false">IF(B177="","",Calcolo!$B$5+SUMIFS(Calcolo!$C$16:$C$515,Calcolo!$A$16:$A$515,"&gt;="&amp;DATE(Calcolo!$B$4,1,1),Calcolo!$A$16:$A$515,"&lt;="&amp;B177))</f>
        <v>2700</v>
      </c>
      <c r="D177" s="17" t="n">
        <f aca="false">IF(B177="",0,IF(Calcolo!$B$7="SI",MAX(0,C177),C177))</f>
        <v>2700</v>
      </c>
    </row>
    <row r="178" customFormat="false" ht="15" hidden="false" customHeight="false" outlineLevel="0" collapsed="false">
      <c r="A178" s="15" t="n">
        <v>177</v>
      </c>
      <c r="B178" s="16" t="n">
        <f aca="false">IF(YEAR(DATE(Calcolo!$B$4,1,1)+176)=Calcolo!$B$4,DATE(Calcolo!$B$4,1,1)+176,"")</f>
        <v>45834</v>
      </c>
      <c r="C178" s="17" t="n">
        <f aca="false">IF(B178="","",Calcolo!$B$5+SUMIFS(Calcolo!$C$16:$C$515,Calcolo!$A$16:$A$515,"&gt;="&amp;DATE(Calcolo!$B$4,1,1),Calcolo!$A$16:$A$515,"&lt;="&amp;B178))</f>
        <v>2700</v>
      </c>
      <c r="D178" s="17" t="n">
        <f aca="false">IF(B178="",0,IF(Calcolo!$B$7="SI",MAX(0,C178),C178))</f>
        <v>2700</v>
      </c>
    </row>
    <row r="179" customFormat="false" ht="15" hidden="false" customHeight="false" outlineLevel="0" collapsed="false">
      <c r="A179" s="15" t="n">
        <v>178</v>
      </c>
      <c r="B179" s="16" t="n">
        <f aca="false">IF(YEAR(DATE(Calcolo!$B$4,1,1)+177)=Calcolo!$B$4,DATE(Calcolo!$B$4,1,1)+177,"")</f>
        <v>45835</v>
      </c>
      <c r="C179" s="17" t="n">
        <f aca="false">IF(B179="","",Calcolo!$B$5+SUMIFS(Calcolo!$C$16:$C$515,Calcolo!$A$16:$A$515,"&gt;="&amp;DATE(Calcolo!$B$4,1,1),Calcolo!$A$16:$A$515,"&lt;="&amp;B179))</f>
        <v>2700</v>
      </c>
      <c r="D179" s="17" t="n">
        <f aca="false">IF(B179="",0,IF(Calcolo!$B$7="SI",MAX(0,C179),C179))</f>
        <v>2700</v>
      </c>
    </row>
    <row r="180" customFormat="false" ht="15" hidden="false" customHeight="false" outlineLevel="0" collapsed="false">
      <c r="A180" s="15" t="n">
        <v>179</v>
      </c>
      <c r="B180" s="16" t="n">
        <f aca="false">IF(YEAR(DATE(Calcolo!$B$4,1,1)+178)=Calcolo!$B$4,DATE(Calcolo!$B$4,1,1)+178,"")</f>
        <v>45836</v>
      </c>
      <c r="C180" s="17" t="n">
        <f aca="false">IF(B180="","",Calcolo!$B$5+SUMIFS(Calcolo!$C$16:$C$515,Calcolo!$A$16:$A$515,"&gt;="&amp;DATE(Calcolo!$B$4,1,1),Calcolo!$A$16:$A$515,"&lt;="&amp;B180))</f>
        <v>2700</v>
      </c>
      <c r="D180" s="17" t="n">
        <f aca="false">IF(B180="",0,IF(Calcolo!$B$7="SI",MAX(0,C180),C180))</f>
        <v>2700</v>
      </c>
    </row>
    <row r="181" customFormat="false" ht="15" hidden="false" customHeight="false" outlineLevel="0" collapsed="false">
      <c r="A181" s="15" t="n">
        <v>180</v>
      </c>
      <c r="B181" s="16" t="n">
        <f aca="false">IF(YEAR(DATE(Calcolo!$B$4,1,1)+179)=Calcolo!$B$4,DATE(Calcolo!$B$4,1,1)+179,"")</f>
        <v>45837</v>
      </c>
      <c r="C181" s="17" t="n">
        <f aca="false">IF(B181="","",Calcolo!$B$5+SUMIFS(Calcolo!$C$16:$C$515,Calcolo!$A$16:$A$515,"&gt;="&amp;DATE(Calcolo!$B$4,1,1),Calcolo!$A$16:$A$515,"&lt;="&amp;B181))</f>
        <v>2700</v>
      </c>
      <c r="D181" s="17" t="n">
        <f aca="false">IF(B181="",0,IF(Calcolo!$B$7="SI",MAX(0,C181),C181))</f>
        <v>2700</v>
      </c>
    </row>
    <row r="182" customFormat="false" ht="15" hidden="false" customHeight="false" outlineLevel="0" collapsed="false">
      <c r="A182" s="15" t="n">
        <v>181</v>
      </c>
      <c r="B182" s="16" t="n">
        <f aca="false">IF(YEAR(DATE(Calcolo!$B$4,1,1)+180)=Calcolo!$B$4,DATE(Calcolo!$B$4,1,1)+180,"")</f>
        <v>45838</v>
      </c>
      <c r="C182" s="17" t="n">
        <f aca="false">IF(B182="","",Calcolo!$B$5+SUMIFS(Calcolo!$C$16:$C$515,Calcolo!$A$16:$A$515,"&gt;="&amp;DATE(Calcolo!$B$4,1,1),Calcolo!$A$16:$A$515,"&lt;="&amp;B182))</f>
        <v>2700</v>
      </c>
      <c r="D182" s="17" t="n">
        <f aca="false">IF(B182="",0,IF(Calcolo!$B$7="SI",MAX(0,C182),C182))</f>
        <v>2700</v>
      </c>
    </row>
    <row r="183" customFormat="false" ht="15" hidden="false" customHeight="false" outlineLevel="0" collapsed="false">
      <c r="A183" s="15" t="n">
        <v>182</v>
      </c>
      <c r="B183" s="16" t="n">
        <f aca="false">IF(YEAR(DATE(Calcolo!$B$4,1,1)+181)=Calcolo!$B$4,DATE(Calcolo!$B$4,1,1)+181,"")</f>
        <v>45839</v>
      </c>
      <c r="C183" s="17" t="n">
        <f aca="false">IF(B183="","",Calcolo!$B$5+SUMIFS(Calcolo!$C$16:$C$515,Calcolo!$A$16:$A$515,"&gt;="&amp;DATE(Calcolo!$B$4,1,1),Calcolo!$A$16:$A$515,"&lt;="&amp;B183))</f>
        <v>2700</v>
      </c>
      <c r="D183" s="17" t="n">
        <f aca="false">IF(B183="",0,IF(Calcolo!$B$7="SI",MAX(0,C183),C183))</f>
        <v>2700</v>
      </c>
    </row>
    <row r="184" customFormat="false" ht="15" hidden="false" customHeight="false" outlineLevel="0" collapsed="false">
      <c r="A184" s="15" t="n">
        <v>183</v>
      </c>
      <c r="B184" s="16" t="n">
        <f aca="false">IF(YEAR(DATE(Calcolo!$B$4,1,1)+182)=Calcolo!$B$4,DATE(Calcolo!$B$4,1,1)+182,"")</f>
        <v>45840</v>
      </c>
      <c r="C184" s="17" t="n">
        <f aca="false">IF(B184="","",Calcolo!$B$5+SUMIFS(Calcolo!$C$16:$C$515,Calcolo!$A$16:$A$515,"&gt;="&amp;DATE(Calcolo!$B$4,1,1),Calcolo!$A$16:$A$515,"&lt;="&amp;B184))</f>
        <v>2700</v>
      </c>
      <c r="D184" s="17" t="n">
        <f aca="false">IF(B184="",0,IF(Calcolo!$B$7="SI",MAX(0,C184),C184))</f>
        <v>2700</v>
      </c>
    </row>
    <row r="185" customFormat="false" ht="15" hidden="false" customHeight="false" outlineLevel="0" collapsed="false">
      <c r="A185" s="15" t="n">
        <v>184</v>
      </c>
      <c r="B185" s="16" t="n">
        <f aca="false">IF(YEAR(DATE(Calcolo!$B$4,1,1)+183)=Calcolo!$B$4,DATE(Calcolo!$B$4,1,1)+183,"")</f>
        <v>45841</v>
      </c>
      <c r="C185" s="17" t="n">
        <f aca="false">IF(B185="","",Calcolo!$B$5+SUMIFS(Calcolo!$C$16:$C$515,Calcolo!$A$16:$A$515,"&gt;="&amp;DATE(Calcolo!$B$4,1,1),Calcolo!$A$16:$A$515,"&lt;="&amp;B185))</f>
        <v>2700</v>
      </c>
      <c r="D185" s="17" t="n">
        <f aca="false">IF(B185="",0,IF(Calcolo!$B$7="SI",MAX(0,C185),C185))</f>
        <v>2700</v>
      </c>
    </row>
    <row r="186" customFormat="false" ht="15" hidden="false" customHeight="false" outlineLevel="0" collapsed="false">
      <c r="A186" s="15" t="n">
        <v>185</v>
      </c>
      <c r="B186" s="16" t="n">
        <f aca="false">IF(YEAR(DATE(Calcolo!$B$4,1,1)+184)=Calcolo!$B$4,DATE(Calcolo!$B$4,1,1)+184,"")</f>
        <v>45842</v>
      </c>
      <c r="C186" s="17" t="n">
        <f aca="false">IF(B186="","",Calcolo!$B$5+SUMIFS(Calcolo!$C$16:$C$515,Calcolo!$A$16:$A$515,"&gt;="&amp;DATE(Calcolo!$B$4,1,1),Calcolo!$A$16:$A$515,"&lt;="&amp;B186))</f>
        <v>2700</v>
      </c>
      <c r="D186" s="17" t="n">
        <f aca="false">IF(B186="",0,IF(Calcolo!$B$7="SI",MAX(0,C186),C186))</f>
        <v>2700</v>
      </c>
    </row>
    <row r="187" customFormat="false" ht="15" hidden="false" customHeight="false" outlineLevel="0" collapsed="false">
      <c r="A187" s="15" t="n">
        <v>186</v>
      </c>
      <c r="B187" s="16" t="n">
        <f aca="false">IF(YEAR(DATE(Calcolo!$B$4,1,1)+185)=Calcolo!$B$4,DATE(Calcolo!$B$4,1,1)+185,"")</f>
        <v>45843</v>
      </c>
      <c r="C187" s="17" t="n">
        <f aca="false">IF(B187="","",Calcolo!$B$5+SUMIFS(Calcolo!$C$16:$C$515,Calcolo!$A$16:$A$515,"&gt;="&amp;DATE(Calcolo!$B$4,1,1),Calcolo!$A$16:$A$515,"&lt;="&amp;B187))</f>
        <v>2700</v>
      </c>
      <c r="D187" s="17" t="n">
        <f aca="false">IF(B187="",0,IF(Calcolo!$B$7="SI",MAX(0,C187),C187))</f>
        <v>2700</v>
      </c>
    </row>
    <row r="188" customFormat="false" ht="15" hidden="false" customHeight="false" outlineLevel="0" collapsed="false">
      <c r="A188" s="15" t="n">
        <v>187</v>
      </c>
      <c r="B188" s="16" t="n">
        <f aca="false">IF(YEAR(DATE(Calcolo!$B$4,1,1)+186)=Calcolo!$B$4,DATE(Calcolo!$B$4,1,1)+186,"")</f>
        <v>45844</v>
      </c>
      <c r="C188" s="17" t="n">
        <f aca="false">IF(B188="","",Calcolo!$B$5+SUMIFS(Calcolo!$C$16:$C$515,Calcolo!$A$16:$A$515,"&gt;="&amp;DATE(Calcolo!$B$4,1,1),Calcolo!$A$16:$A$515,"&lt;="&amp;B188))</f>
        <v>2700</v>
      </c>
      <c r="D188" s="17" t="n">
        <f aca="false">IF(B188="",0,IF(Calcolo!$B$7="SI",MAX(0,C188),C188))</f>
        <v>2700</v>
      </c>
    </row>
    <row r="189" customFormat="false" ht="15" hidden="false" customHeight="false" outlineLevel="0" collapsed="false">
      <c r="A189" s="15" t="n">
        <v>188</v>
      </c>
      <c r="B189" s="16" t="n">
        <f aca="false">IF(YEAR(DATE(Calcolo!$B$4,1,1)+187)=Calcolo!$B$4,DATE(Calcolo!$B$4,1,1)+187,"")</f>
        <v>45845</v>
      </c>
      <c r="C189" s="17" t="n">
        <f aca="false">IF(B189="","",Calcolo!$B$5+SUMIFS(Calcolo!$C$16:$C$515,Calcolo!$A$16:$A$515,"&gt;="&amp;DATE(Calcolo!$B$4,1,1),Calcolo!$A$16:$A$515,"&lt;="&amp;B189))</f>
        <v>2700</v>
      </c>
      <c r="D189" s="17" t="n">
        <f aca="false">IF(B189="",0,IF(Calcolo!$B$7="SI",MAX(0,C189),C189))</f>
        <v>2700</v>
      </c>
    </row>
    <row r="190" customFormat="false" ht="15" hidden="false" customHeight="false" outlineLevel="0" collapsed="false">
      <c r="A190" s="15" t="n">
        <v>189</v>
      </c>
      <c r="B190" s="16" t="n">
        <f aca="false">IF(YEAR(DATE(Calcolo!$B$4,1,1)+188)=Calcolo!$B$4,DATE(Calcolo!$B$4,1,1)+188,"")</f>
        <v>45846</v>
      </c>
      <c r="C190" s="17" t="n">
        <f aca="false">IF(B190="","",Calcolo!$B$5+SUMIFS(Calcolo!$C$16:$C$515,Calcolo!$A$16:$A$515,"&gt;="&amp;DATE(Calcolo!$B$4,1,1),Calcolo!$A$16:$A$515,"&lt;="&amp;B190))</f>
        <v>2700</v>
      </c>
      <c r="D190" s="17" t="n">
        <f aca="false">IF(B190="",0,IF(Calcolo!$B$7="SI",MAX(0,C190),C190))</f>
        <v>2700</v>
      </c>
    </row>
    <row r="191" customFormat="false" ht="15" hidden="false" customHeight="false" outlineLevel="0" collapsed="false">
      <c r="A191" s="15" t="n">
        <v>190</v>
      </c>
      <c r="B191" s="16" t="n">
        <f aca="false">IF(YEAR(DATE(Calcolo!$B$4,1,1)+189)=Calcolo!$B$4,DATE(Calcolo!$B$4,1,1)+189,"")</f>
        <v>45847</v>
      </c>
      <c r="C191" s="17" t="n">
        <f aca="false">IF(B191="","",Calcolo!$B$5+SUMIFS(Calcolo!$C$16:$C$515,Calcolo!$A$16:$A$515,"&gt;="&amp;DATE(Calcolo!$B$4,1,1),Calcolo!$A$16:$A$515,"&lt;="&amp;B191))</f>
        <v>2700</v>
      </c>
      <c r="D191" s="17" t="n">
        <f aca="false">IF(B191="",0,IF(Calcolo!$B$7="SI",MAX(0,C191),C191))</f>
        <v>2700</v>
      </c>
    </row>
    <row r="192" customFormat="false" ht="15" hidden="false" customHeight="false" outlineLevel="0" collapsed="false">
      <c r="A192" s="15" t="n">
        <v>191</v>
      </c>
      <c r="B192" s="16" t="n">
        <f aca="false">IF(YEAR(DATE(Calcolo!$B$4,1,1)+190)=Calcolo!$B$4,DATE(Calcolo!$B$4,1,1)+190,"")</f>
        <v>45848</v>
      </c>
      <c r="C192" s="17" t="n">
        <f aca="false">IF(B192="","",Calcolo!$B$5+SUMIFS(Calcolo!$C$16:$C$515,Calcolo!$A$16:$A$515,"&gt;="&amp;DATE(Calcolo!$B$4,1,1),Calcolo!$A$16:$A$515,"&lt;="&amp;B192))</f>
        <v>2700</v>
      </c>
      <c r="D192" s="17" t="n">
        <f aca="false">IF(B192="",0,IF(Calcolo!$B$7="SI",MAX(0,C192),C192))</f>
        <v>2700</v>
      </c>
    </row>
    <row r="193" customFormat="false" ht="15" hidden="false" customHeight="false" outlineLevel="0" collapsed="false">
      <c r="A193" s="15" t="n">
        <v>192</v>
      </c>
      <c r="B193" s="16" t="n">
        <f aca="false">IF(YEAR(DATE(Calcolo!$B$4,1,1)+191)=Calcolo!$B$4,DATE(Calcolo!$B$4,1,1)+191,"")</f>
        <v>45849</v>
      </c>
      <c r="C193" s="17" t="n">
        <f aca="false">IF(B193="","",Calcolo!$B$5+SUMIFS(Calcolo!$C$16:$C$515,Calcolo!$A$16:$A$515,"&gt;="&amp;DATE(Calcolo!$B$4,1,1),Calcolo!$A$16:$A$515,"&lt;="&amp;B193))</f>
        <v>2700</v>
      </c>
      <c r="D193" s="17" t="n">
        <f aca="false">IF(B193="",0,IF(Calcolo!$B$7="SI",MAX(0,C193),C193))</f>
        <v>2700</v>
      </c>
    </row>
    <row r="194" customFormat="false" ht="15" hidden="false" customHeight="false" outlineLevel="0" collapsed="false">
      <c r="A194" s="15" t="n">
        <v>193</v>
      </c>
      <c r="B194" s="16" t="n">
        <f aca="false">IF(YEAR(DATE(Calcolo!$B$4,1,1)+192)=Calcolo!$B$4,DATE(Calcolo!$B$4,1,1)+192,"")</f>
        <v>45850</v>
      </c>
      <c r="C194" s="17" t="n">
        <f aca="false">IF(B194="","",Calcolo!$B$5+SUMIFS(Calcolo!$C$16:$C$515,Calcolo!$A$16:$A$515,"&gt;="&amp;DATE(Calcolo!$B$4,1,1),Calcolo!$A$16:$A$515,"&lt;="&amp;B194))</f>
        <v>2700</v>
      </c>
      <c r="D194" s="17" t="n">
        <f aca="false">IF(B194="",0,IF(Calcolo!$B$7="SI",MAX(0,C194),C194))</f>
        <v>2700</v>
      </c>
    </row>
    <row r="195" customFormat="false" ht="15" hidden="false" customHeight="false" outlineLevel="0" collapsed="false">
      <c r="A195" s="15" t="n">
        <v>194</v>
      </c>
      <c r="B195" s="16" t="n">
        <f aca="false">IF(YEAR(DATE(Calcolo!$B$4,1,1)+193)=Calcolo!$B$4,DATE(Calcolo!$B$4,1,1)+193,"")</f>
        <v>45851</v>
      </c>
      <c r="C195" s="17" t="n">
        <f aca="false">IF(B195="","",Calcolo!$B$5+SUMIFS(Calcolo!$C$16:$C$515,Calcolo!$A$16:$A$515,"&gt;="&amp;DATE(Calcolo!$B$4,1,1),Calcolo!$A$16:$A$515,"&lt;="&amp;B195))</f>
        <v>2700</v>
      </c>
      <c r="D195" s="17" t="n">
        <f aca="false">IF(B195="",0,IF(Calcolo!$B$7="SI",MAX(0,C195),C195))</f>
        <v>2700</v>
      </c>
    </row>
    <row r="196" customFormat="false" ht="15" hidden="false" customHeight="false" outlineLevel="0" collapsed="false">
      <c r="A196" s="15" t="n">
        <v>195</v>
      </c>
      <c r="B196" s="16" t="n">
        <f aca="false">IF(YEAR(DATE(Calcolo!$B$4,1,1)+194)=Calcolo!$B$4,DATE(Calcolo!$B$4,1,1)+194,"")</f>
        <v>45852</v>
      </c>
      <c r="C196" s="17" t="n">
        <f aca="false">IF(B196="","",Calcolo!$B$5+SUMIFS(Calcolo!$C$16:$C$515,Calcolo!$A$16:$A$515,"&gt;="&amp;DATE(Calcolo!$B$4,1,1),Calcolo!$A$16:$A$515,"&lt;="&amp;B196))</f>
        <v>2700</v>
      </c>
      <c r="D196" s="17" t="n">
        <f aca="false">IF(B196="",0,IF(Calcolo!$B$7="SI",MAX(0,C196),C196))</f>
        <v>2700</v>
      </c>
    </row>
    <row r="197" customFormat="false" ht="15" hidden="false" customHeight="false" outlineLevel="0" collapsed="false">
      <c r="A197" s="15" t="n">
        <v>196</v>
      </c>
      <c r="B197" s="16" t="n">
        <f aca="false">IF(YEAR(DATE(Calcolo!$B$4,1,1)+195)=Calcolo!$B$4,DATE(Calcolo!$B$4,1,1)+195,"")</f>
        <v>45853</v>
      </c>
      <c r="C197" s="17" t="n">
        <f aca="false">IF(B197="","",Calcolo!$B$5+SUMIFS(Calcolo!$C$16:$C$515,Calcolo!$A$16:$A$515,"&gt;="&amp;DATE(Calcolo!$B$4,1,1),Calcolo!$A$16:$A$515,"&lt;="&amp;B197))</f>
        <v>2700</v>
      </c>
      <c r="D197" s="17" t="n">
        <f aca="false">IF(B197="",0,IF(Calcolo!$B$7="SI",MAX(0,C197),C197))</f>
        <v>2700</v>
      </c>
    </row>
    <row r="198" customFormat="false" ht="15" hidden="false" customHeight="false" outlineLevel="0" collapsed="false">
      <c r="A198" s="15" t="n">
        <v>197</v>
      </c>
      <c r="B198" s="16" t="n">
        <f aca="false">IF(YEAR(DATE(Calcolo!$B$4,1,1)+196)=Calcolo!$B$4,DATE(Calcolo!$B$4,1,1)+196,"")</f>
        <v>45854</v>
      </c>
      <c r="C198" s="17" t="n">
        <f aca="false">IF(B198="","",Calcolo!$B$5+SUMIFS(Calcolo!$C$16:$C$515,Calcolo!$A$16:$A$515,"&gt;="&amp;DATE(Calcolo!$B$4,1,1),Calcolo!$A$16:$A$515,"&lt;="&amp;B198))</f>
        <v>2700</v>
      </c>
      <c r="D198" s="17" t="n">
        <f aca="false">IF(B198="",0,IF(Calcolo!$B$7="SI",MAX(0,C198),C198))</f>
        <v>2700</v>
      </c>
    </row>
    <row r="199" customFormat="false" ht="15" hidden="false" customHeight="false" outlineLevel="0" collapsed="false">
      <c r="A199" s="15" t="n">
        <v>198</v>
      </c>
      <c r="B199" s="16" t="n">
        <f aca="false">IF(YEAR(DATE(Calcolo!$B$4,1,1)+197)=Calcolo!$B$4,DATE(Calcolo!$B$4,1,1)+197,"")</f>
        <v>45855</v>
      </c>
      <c r="C199" s="17" t="n">
        <f aca="false">IF(B199="","",Calcolo!$B$5+SUMIFS(Calcolo!$C$16:$C$515,Calcolo!$A$16:$A$515,"&gt;="&amp;DATE(Calcolo!$B$4,1,1),Calcolo!$A$16:$A$515,"&lt;="&amp;B199))</f>
        <v>2700</v>
      </c>
      <c r="D199" s="17" t="n">
        <f aca="false">IF(B199="",0,IF(Calcolo!$B$7="SI",MAX(0,C199),C199))</f>
        <v>2700</v>
      </c>
    </row>
    <row r="200" customFormat="false" ht="15" hidden="false" customHeight="false" outlineLevel="0" collapsed="false">
      <c r="A200" s="15" t="n">
        <v>199</v>
      </c>
      <c r="B200" s="16" t="n">
        <f aca="false">IF(YEAR(DATE(Calcolo!$B$4,1,1)+198)=Calcolo!$B$4,DATE(Calcolo!$B$4,1,1)+198,"")</f>
        <v>45856</v>
      </c>
      <c r="C200" s="17" t="n">
        <f aca="false">IF(B200="","",Calcolo!$B$5+SUMIFS(Calcolo!$C$16:$C$515,Calcolo!$A$16:$A$515,"&gt;="&amp;DATE(Calcolo!$B$4,1,1),Calcolo!$A$16:$A$515,"&lt;="&amp;B200))</f>
        <v>2700</v>
      </c>
      <c r="D200" s="17" t="n">
        <f aca="false">IF(B200="",0,IF(Calcolo!$B$7="SI",MAX(0,C200),C200))</f>
        <v>2700</v>
      </c>
    </row>
    <row r="201" customFormat="false" ht="15" hidden="false" customHeight="false" outlineLevel="0" collapsed="false">
      <c r="A201" s="15" t="n">
        <v>200</v>
      </c>
      <c r="B201" s="16" t="n">
        <f aca="false">IF(YEAR(DATE(Calcolo!$B$4,1,1)+199)=Calcolo!$B$4,DATE(Calcolo!$B$4,1,1)+199,"")</f>
        <v>45857</v>
      </c>
      <c r="C201" s="17" t="n">
        <f aca="false">IF(B201="","",Calcolo!$B$5+SUMIFS(Calcolo!$C$16:$C$515,Calcolo!$A$16:$A$515,"&gt;="&amp;DATE(Calcolo!$B$4,1,1),Calcolo!$A$16:$A$515,"&lt;="&amp;B201))</f>
        <v>2700</v>
      </c>
      <c r="D201" s="17" t="n">
        <f aca="false">IF(B201="",0,IF(Calcolo!$B$7="SI",MAX(0,C201),C201))</f>
        <v>2700</v>
      </c>
    </row>
    <row r="202" customFormat="false" ht="15" hidden="false" customHeight="false" outlineLevel="0" collapsed="false">
      <c r="A202" s="15" t="n">
        <v>201</v>
      </c>
      <c r="B202" s="16" t="n">
        <f aca="false">IF(YEAR(DATE(Calcolo!$B$4,1,1)+200)=Calcolo!$B$4,DATE(Calcolo!$B$4,1,1)+200,"")</f>
        <v>45858</v>
      </c>
      <c r="C202" s="17" t="n">
        <f aca="false">IF(B202="","",Calcolo!$B$5+SUMIFS(Calcolo!$C$16:$C$515,Calcolo!$A$16:$A$515,"&gt;="&amp;DATE(Calcolo!$B$4,1,1),Calcolo!$A$16:$A$515,"&lt;="&amp;B202))</f>
        <v>2700</v>
      </c>
      <c r="D202" s="17" t="n">
        <f aca="false">IF(B202="",0,IF(Calcolo!$B$7="SI",MAX(0,C202),C202))</f>
        <v>2700</v>
      </c>
    </row>
    <row r="203" customFormat="false" ht="15" hidden="false" customHeight="false" outlineLevel="0" collapsed="false">
      <c r="A203" s="15" t="n">
        <v>202</v>
      </c>
      <c r="B203" s="16" t="n">
        <f aca="false">IF(YEAR(DATE(Calcolo!$B$4,1,1)+201)=Calcolo!$B$4,DATE(Calcolo!$B$4,1,1)+201,"")</f>
        <v>45859</v>
      </c>
      <c r="C203" s="17" t="n">
        <f aca="false">IF(B203="","",Calcolo!$B$5+SUMIFS(Calcolo!$C$16:$C$515,Calcolo!$A$16:$A$515,"&gt;="&amp;DATE(Calcolo!$B$4,1,1),Calcolo!$A$16:$A$515,"&lt;="&amp;B203))</f>
        <v>2700</v>
      </c>
      <c r="D203" s="17" t="n">
        <f aca="false">IF(B203="",0,IF(Calcolo!$B$7="SI",MAX(0,C203),C203))</f>
        <v>2700</v>
      </c>
    </row>
    <row r="204" customFormat="false" ht="15" hidden="false" customHeight="false" outlineLevel="0" collapsed="false">
      <c r="A204" s="15" t="n">
        <v>203</v>
      </c>
      <c r="B204" s="16" t="n">
        <f aca="false">IF(YEAR(DATE(Calcolo!$B$4,1,1)+202)=Calcolo!$B$4,DATE(Calcolo!$B$4,1,1)+202,"")</f>
        <v>45860</v>
      </c>
      <c r="C204" s="17" t="n">
        <f aca="false">IF(B204="","",Calcolo!$B$5+SUMIFS(Calcolo!$C$16:$C$515,Calcolo!$A$16:$A$515,"&gt;="&amp;DATE(Calcolo!$B$4,1,1),Calcolo!$A$16:$A$515,"&lt;="&amp;B204))</f>
        <v>2700</v>
      </c>
      <c r="D204" s="17" t="n">
        <f aca="false">IF(B204="",0,IF(Calcolo!$B$7="SI",MAX(0,C204),C204))</f>
        <v>2700</v>
      </c>
    </row>
    <row r="205" customFormat="false" ht="15" hidden="false" customHeight="false" outlineLevel="0" collapsed="false">
      <c r="A205" s="15" t="n">
        <v>204</v>
      </c>
      <c r="B205" s="16" t="n">
        <f aca="false">IF(YEAR(DATE(Calcolo!$B$4,1,1)+203)=Calcolo!$B$4,DATE(Calcolo!$B$4,1,1)+203,"")</f>
        <v>45861</v>
      </c>
      <c r="C205" s="17" t="n">
        <f aca="false">IF(B205="","",Calcolo!$B$5+SUMIFS(Calcolo!$C$16:$C$515,Calcolo!$A$16:$A$515,"&gt;="&amp;DATE(Calcolo!$B$4,1,1),Calcolo!$A$16:$A$515,"&lt;="&amp;B205))</f>
        <v>2700</v>
      </c>
      <c r="D205" s="17" t="n">
        <f aca="false">IF(B205="",0,IF(Calcolo!$B$7="SI",MAX(0,C205),C205))</f>
        <v>2700</v>
      </c>
    </row>
    <row r="206" customFormat="false" ht="15" hidden="false" customHeight="false" outlineLevel="0" collapsed="false">
      <c r="A206" s="15" t="n">
        <v>205</v>
      </c>
      <c r="B206" s="16" t="n">
        <f aca="false">IF(YEAR(DATE(Calcolo!$B$4,1,1)+204)=Calcolo!$B$4,DATE(Calcolo!$B$4,1,1)+204,"")</f>
        <v>45862</v>
      </c>
      <c r="C206" s="17" t="n">
        <f aca="false">IF(B206="","",Calcolo!$B$5+SUMIFS(Calcolo!$C$16:$C$515,Calcolo!$A$16:$A$515,"&gt;="&amp;DATE(Calcolo!$B$4,1,1),Calcolo!$A$16:$A$515,"&lt;="&amp;B206))</f>
        <v>2700</v>
      </c>
      <c r="D206" s="17" t="n">
        <f aca="false">IF(B206="",0,IF(Calcolo!$B$7="SI",MAX(0,C206),C206))</f>
        <v>2700</v>
      </c>
    </row>
    <row r="207" customFormat="false" ht="15" hidden="false" customHeight="false" outlineLevel="0" collapsed="false">
      <c r="A207" s="15" t="n">
        <v>206</v>
      </c>
      <c r="B207" s="16" t="n">
        <f aca="false">IF(YEAR(DATE(Calcolo!$B$4,1,1)+205)=Calcolo!$B$4,DATE(Calcolo!$B$4,1,1)+205,"")</f>
        <v>45863</v>
      </c>
      <c r="C207" s="17" t="n">
        <f aca="false">IF(B207="","",Calcolo!$B$5+SUMIFS(Calcolo!$C$16:$C$515,Calcolo!$A$16:$A$515,"&gt;="&amp;DATE(Calcolo!$B$4,1,1),Calcolo!$A$16:$A$515,"&lt;="&amp;B207))</f>
        <v>2700</v>
      </c>
      <c r="D207" s="17" t="n">
        <f aca="false">IF(B207="",0,IF(Calcolo!$B$7="SI",MAX(0,C207),C207))</f>
        <v>2700</v>
      </c>
    </row>
    <row r="208" customFormat="false" ht="15" hidden="false" customHeight="false" outlineLevel="0" collapsed="false">
      <c r="A208" s="15" t="n">
        <v>207</v>
      </c>
      <c r="B208" s="16" t="n">
        <f aca="false">IF(YEAR(DATE(Calcolo!$B$4,1,1)+206)=Calcolo!$B$4,DATE(Calcolo!$B$4,1,1)+206,"")</f>
        <v>45864</v>
      </c>
      <c r="C208" s="17" t="n">
        <f aca="false">IF(B208="","",Calcolo!$B$5+SUMIFS(Calcolo!$C$16:$C$515,Calcolo!$A$16:$A$515,"&gt;="&amp;DATE(Calcolo!$B$4,1,1),Calcolo!$A$16:$A$515,"&lt;="&amp;B208))</f>
        <v>2700</v>
      </c>
      <c r="D208" s="17" t="n">
        <f aca="false">IF(B208="",0,IF(Calcolo!$B$7="SI",MAX(0,C208),C208))</f>
        <v>2700</v>
      </c>
    </row>
    <row r="209" customFormat="false" ht="15" hidden="false" customHeight="false" outlineLevel="0" collapsed="false">
      <c r="A209" s="15" t="n">
        <v>208</v>
      </c>
      <c r="B209" s="16" t="n">
        <f aca="false">IF(YEAR(DATE(Calcolo!$B$4,1,1)+207)=Calcolo!$B$4,DATE(Calcolo!$B$4,1,1)+207,"")</f>
        <v>45865</v>
      </c>
      <c r="C209" s="17" t="n">
        <f aca="false">IF(B209="","",Calcolo!$B$5+SUMIFS(Calcolo!$C$16:$C$515,Calcolo!$A$16:$A$515,"&gt;="&amp;DATE(Calcolo!$B$4,1,1),Calcolo!$A$16:$A$515,"&lt;="&amp;B209))</f>
        <v>2700</v>
      </c>
      <c r="D209" s="17" t="n">
        <f aca="false">IF(B209="",0,IF(Calcolo!$B$7="SI",MAX(0,C209),C209))</f>
        <v>2700</v>
      </c>
    </row>
    <row r="210" customFormat="false" ht="15" hidden="false" customHeight="false" outlineLevel="0" collapsed="false">
      <c r="A210" s="15" t="n">
        <v>209</v>
      </c>
      <c r="B210" s="16" t="n">
        <f aca="false">IF(YEAR(DATE(Calcolo!$B$4,1,1)+208)=Calcolo!$B$4,DATE(Calcolo!$B$4,1,1)+208,"")</f>
        <v>45866</v>
      </c>
      <c r="C210" s="17" t="n">
        <f aca="false">IF(B210="","",Calcolo!$B$5+SUMIFS(Calcolo!$C$16:$C$515,Calcolo!$A$16:$A$515,"&gt;="&amp;DATE(Calcolo!$B$4,1,1),Calcolo!$A$16:$A$515,"&lt;="&amp;B210))</f>
        <v>2700</v>
      </c>
      <c r="D210" s="17" t="n">
        <f aca="false">IF(B210="",0,IF(Calcolo!$B$7="SI",MAX(0,C210),C210))</f>
        <v>2700</v>
      </c>
    </row>
    <row r="211" customFormat="false" ht="15" hidden="false" customHeight="false" outlineLevel="0" collapsed="false">
      <c r="A211" s="15" t="n">
        <v>210</v>
      </c>
      <c r="B211" s="16" t="n">
        <f aca="false">IF(YEAR(DATE(Calcolo!$B$4,1,1)+209)=Calcolo!$B$4,DATE(Calcolo!$B$4,1,1)+209,"")</f>
        <v>45867</v>
      </c>
      <c r="C211" s="17" t="n">
        <f aca="false">IF(B211="","",Calcolo!$B$5+SUMIFS(Calcolo!$C$16:$C$515,Calcolo!$A$16:$A$515,"&gt;="&amp;DATE(Calcolo!$B$4,1,1),Calcolo!$A$16:$A$515,"&lt;="&amp;B211))</f>
        <v>2700</v>
      </c>
      <c r="D211" s="17" t="n">
        <f aca="false">IF(B211="",0,IF(Calcolo!$B$7="SI",MAX(0,C211),C211))</f>
        <v>2700</v>
      </c>
    </row>
    <row r="212" customFormat="false" ht="15" hidden="false" customHeight="false" outlineLevel="0" collapsed="false">
      <c r="A212" s="15" t="n">
        <v>211</v>
      </c>
      <c r="B212" s="16" t="n">
        <f aca="false">IF(YEAR(DATE(Calcolo!$B$4,1,1)+210)=Calcolo!$B$4,DATE(Calcolo!$B$4,1,1)+210,"")</f>
        <v>45868</v>
      </c>
      <c r="C212" s="17" t="n">
        <f aca="false">IF(B212="","",Calcolo!$B$5+SUMIFS(Calcolo!$C$16:$C$515,Calcolo!$A$16:$A$515,"&gt;="&amp;DATE(Calcolo!$B$4,1,1),Calcolo!$A$16:$A$515,"&lt;="&amp;B212))</f>
        <v>2700</v>
      </c>
      <c r="D212" s="17" t="n">
        <f aca="false">IF(B212="",0,IF(Calcolo!$B$7="SI",MAX(0,C212),C212))</f>
        <v>2700</v>
      </c>
    </row>
    <row r="213" customFormat="false" ht="15" hidden="false" customHeight="false" outlineLevel="0" collapsed="false">
      <c r="A213" s="15" t="n">
        <v>212</v>
      </c>
      <c r="B213" s="16" t="n">
        <f aca="false">IF(YEAR(DATE(Calcolo!$B$4,1,1)+211)=Calcolo!$B$4,DATE(Calcolo!$B$4,1,1)+211,"")</f>
        <v>45869</v>
      </c>
      <c r="C213" s="17" t="n">
        <f aca="false">IF(B213="","",Calcolo!$B$5+SUMIFS(Calcolo!$C$16:$C$515,Calcolo!$A$16:$A$515,"&gt;="&amp;DATE(Calcolo!$B$4,1,1),Calcolo!$A$16:$A$515,"&lt;="&amp;B213))</f>
        <v>2700</v>
      </c>
      <c r="D213" s="17" t="n">
        <f aca="false">IF(B213="",0,IF(Calcolo!$B$7="SI",MAX(0,C213),C213))</f>
        <v>2700</v>
      </c>
    </row>
    <row r="214" customFormat="false" ht="15" hidden="false" customHeight="false" outlineLevel="0" collapsed="false">
      <c r="A214" s="15" t="n">
        <v>213</v>
      </c>
      <c r="B214" s="16" t="n">
        <f aca="false">IF(YEAR(DATE(Calcolo!$B$4,1,1)+212)=Calcolo!$B$4,DATE(Calcolo!$B$4,1,1)+212,"")</f>
        <v>45870</v>
      </c>
      <c r="C214" s="17" t="n">
        <f aca="false">IF(B214="","",Calcolo!$B$5+SUMIFS(Calcolo!$C$16:$C$515,Calcolo!$A$16:$A$515,"&gt;="&amp;DATE(Calcolo!$B$4,1,1),Calcolo!$A$16:$A$515,"&lt;="&amp;B214))</f>
        <v>2700</v>
      </c>
      <c r="D214" s="17" t="n">
        <f aca="false">IF(B214="",0,IF(Calcolo!$B$7="SI",MAX(0,C214),C214))</f>
        <v>2700</v>
      </c>
    </row>
    <row r="215" customFormat="false" ht="15" hidden="false" customHeight="false" outlineLevel="0" collapsed="false">
      <c r="A215" s="15" t="n">
        <v>214</v>
      </c>
      <c r="B215" s="16" t="n">
        <f aca="false">IF(YEAR(DATE(Calcolo!$B$4,1,1)+213)=Calcolo!$B$4,DATE(Calcolo!$B$4,1,1)+213,"")</f>
        <v>45871</v>
      </c>
      <c r="C215" s="17" t="n">
        <f aca="false">IF(B215="","",Calcolo!$B$5+SUMIFS(Calcolo!$C$16:$C$515,Calcolo!$A$16:$A$515,"&gt;="&amp;DATE(Calcolo!$B$4,1,1),Calcolo!$A$16:$A$515,"&lt;="&amp;B215))</f>
        <v>2700</v>
      </c>
      <c r="D215" s="17" t="n">
        <f aca="false">IF(B215="",0,IF(Calcolo!$B$7="SI",MAX(0,C215),C215))</f>
        <v>2700</v>
      </c>
    </row>
    <row r="216" customFormat="false" ht="15" hidden="false" customHeight="false" outlineLevel="0" collapsed="false">
      <c r="A216" s="15" t="n">
        <v>215</v>
      </c>
      <c r="B216" s="16" t="n">
        <f aca="false">IF(YEAR(DATE(Calcolo!$B$4,1,1)+214)=Calcolo!$B$4,DATE(Calcolo!$B$4,1,1)+214,"")</f>
        <v>45872</v>
      </c>
      <c r="C216" s="17" t="n">
        <f aca="false">IF(B216="","",Calcolo!$B$5+SUMIFS(Calcolo!$C$16:$C$515,Calcolo!$A$16:$A$515,"&gt;="&amp;DATE(Calcolo!$B$4,1,1),Calcolo!$A$16:$A$515,"&lt;="&amp;B216))</f>
        <v>2700</v>
      </c>
      <c r="D216" s="17" t="n">
        <f aca="false">IF(B216="",0,IF(Calcolo!$B$7="SI",MAX(0,C216),C216))</f>
        <v>2700</v>
      </c>
    </row>
    <row r="217" customFormat="false" ht="15" hidden="false" customHeight="false" outlineLevel="0" collapsed="false">
      <c r="A217" s="15" t="n">
        <v>216</v>
      </c>
      <c r="B217" s="16" t="n">
        <f aca="false">IF(YEAR(DATE(Calcolo!$B$4,1,1)+215)=Calcolo!$B$4,DATE(Calcolo!$B$4,1,1)+215,"")</f>
        <v>45873</v>
      </c>
      <c r="C217" s="17" t="n">
        <f aca="false">IF(B217="","",Calcolo!$B$5+SUMIFS(Calcolo!$C$16:$C$515,Calcolo!$A$16:$A$515,"&gt;="&amp;DATE(Calcolo!$B$4,1,1),Calcolo!$A$16:$A$515,"&lt;="&amp;B217))</f>
        <v>2700</v>
      </c>
      <c r="D217" s="17" t="n">
        <f aca="false">IF(B217="",0,IF(Calcolo!$B$7="SI",MAX(0,C217),C217))</f>
        <v>2700</v>
      </c>
    </row>
    <row r="218" customFormat="false" ht="15" hidden="false" customHeight="false" outlineLevel="0" collapsed="false">
      <c r="A218" s="15" t="n">
        <v>217</v>
      </c>
      <c r="B218" s="16" t="n">
        <f aca="false">IF(YEAR(DATE(Calcolo!$B$4,1,1)+216)=Calcolo!$B$4,DATE(Calcolo!$B$4,1,1)+216,"")</f>
        <v>45874</v>
      </c>
      <c r="C218" s="17" t="n">
        <f aca="false">IF(B218="","",Calcolo!$B$5+SUMIFS(Calcolo!$C$16:$C$515,Calcolo!$A$16:$A$515,"&gt;="&amp;DATE(Calcolo!$B$4,1,1),Calcolo!$A$16:$A$515,"&lt;="&amp;B218))</f>
        <v>2700</v>
      </c>
      <c r="D218" s="17" t="n">
        <f aca="false">IF(B218="",0,IF(Calcolo!$B$7="SI",MAX(0,C218),C218))</f>
        <v>2700</v>
      </c>
    </row>
    <row r="219" customFormat="false" ht="15" hidden="false" customHeight="false" outlineLevel="0" collapsed="false">
      <c r="A219" s="15" t="n">
        <v>218</v>
      </c>
      <c r="B219" s="16" t="n">
        <f aca="false">IF(YEAR(DATE(Calcolo!$B$4,1,1)+217)=Calcolo!$B$4,DATE(Calcolo!$B$4,1,1)+217,"")</f>
        <v>45875</v>
      </c>
      <c r="C219" s="17" t="n">
        <f aca="false">IF(B219="","",Calcolo!$B$5+SUMIFS(Calcolo!$C$16:$C$515,Calcolo!$A$16:$A$515,"&gt;="&amp;DATE(Calcolo!$B$4,1,1),Calcolo!$A$16:$A$515,"&lt;="&amp;B219))</f>
        <v>2700</v>
      </c>
      <c r="D219" s="17" t="n">
        <f aca="false">IF(B219="",0,IF(Calcolo!$B$7="SI",MAX(0,C219),C219))</f>
        <v>2700</v>
      </c>
    </row>
    <row r="220" customFormat="false" ht="15" hidden="false" customHeight="false" outlineLevel="0" collapsed="false">
      <c r="A220" s="15" t="n">
        <v>219</v>
      </c>
      <c r="B220" s="16" t="n">
        <f aca="false">IF(YEAR(DATE(Calcolo!$B$4,1,1)+218)=Calcolo!$B$4,DATE(Calcolo!$B$4,1,1)+218,"")</f>
        <v>45876</v>
      </c>
      <c r="C220" s="17" t="n">
        <f aca="false">IF(B220="","",Calcolo!$B$5+SUMIFS(Calcolo!$C$16:$C$515,Calcolo!$A$16:$A$515,"&gt;="&amp;DATE(Calcolo!$B$4,1,1),Calcolo!$A$16:$A$515,"&lt;="&amp;B220))</f>
        <v>2700</v>
      </c>
      <c r="D220" s="17" t="n">
        <f aca="false">IF(B220="",0,IF(Calcolo!$B$7="SI",MAX(0,C220),C220))</f>
        <v>2700</v>
      </c>
    </row>
    <row r="221" customFormat="false" ht="15" hidden="false" customHeight="false" outlineLevel="0" collapsed="false">
      <c r="A221" s="15" t="n">
        <v>220</v>
      </c>
      <c r="B221" s="16" t="n">
        <f aca="false">IF(YEAR(DATE(Calcolo!$B$4,1,1)+219)=Calcolo!$B$4,DATE(Calcolo!$B$4,1,1)+219,"")</f>
        <v>45877</v>
      </c>
      <c r="C221" s="17" t="n">
        <f aca="false">IF(B221="","",Calcolo!$B$5+SUMIFS(Calcolo!$C$16:$C$515,Calcolo!$A$16:$A$515,"&gt;="&amp;DATE(Calcolo!$B$4,1,1),Calcolo!$A$16:$A$515,"&lt;="&amp;B221))</f>
        <v>2700</v>
      </c>
      <c r="D221" s="17" t="n">
        <f aca="false">IF(B221="",0,IF(Calcolo!$B$7="SI",MAX(0,C221),C221))</f>
        <v>2700</v>
      </c>
    </row>
    <row r="222" customFormat="false" ht="15" hidden="false" customHeight="false" outlineLevel="0" collapsed="false">
      <c r="A222" s="15" t="n">
        <v>221</v>
      </c>
      <c r="B222" s="16" t="n">
        <f aca="false">IF(YEAR(DATE(Calcolo!$B$4,1,1)+220)=Calcolo!$B$4,DATE(Calcolo!$B$4,1,1)+220,"")</f>
        <v>45878</v>
      </c>
      <c r="C222" s="17" t="n">
        <f aca="false">IF(B222="","",Calcolo!$B$5+SUMIFS(Calcolo!$C$16:$C$515,Calcolo!$A$16:$A$515,"&gt;="&amp;DATE(Calcolo!$B$4,1,1),Calcolo!$A$16:$A$515,"&lt;="&amp;B222))</f>
        <v>2700</v>
      </c>
      <c r="D222" s="17" t="n">
        <f aca="false">IF(B222="",0,IF(Calcolo!$B$7="SI",MAX(0,C222),C222))</f>
        <v>2700</v>
      </c>
    </row>
    <row r="223" customFormat="false" ht="15" hidden="false" customHeight="false" outlineLevel="0" collapsed="false">
      <c r="A223" s="15" t="n">
        <v>222</v>
      </c>
      <c r="B223" s="16" t="n">
        <f aca="false">IF(YEAR(DATE(Calcolo!$B$4,1,1)+221)=Calcolo!$B$4,DATE(Calcolo!$B$4,1,1)+221,"")</f>
        <v>45879</v>
      </c>
      <c r="C223" s="17" t="n">
        <f aca="false">IF(B223="","",Calcolo!$B$5+SUMIFS(Calcolo!$C$16:$C$515,Calcolo!$A$16:$A$515,"&gt;="&amp;DATE(Calcolo!$B$4,1,1),Calcolo!$A$16:$A$515,"&lt;="&amp;B223))</f>
        <v>2700</v>
      </c>
      <c r="D223" s="17" t="n">
        <f aca="false">IF(B223="",0,IF(Calcolo!$B$7="SI",MAX(0,C223),C223))</f>
        <v>2700</v>
      </c>
    </row>
    <row r="224" customFormat="false" ht="15" hidden="false" customHeight="false" outlineLevel="0" collapsed="false">
      <c r="A224" s="15" t="n">
        <v>223</v>
      </c>
      <c r="B224" s="16" t="n">
        <f aca="false">IF(YEAR(DATE(Calcolo!$B$4,1,1)+222)=Calcolo!$B$4,DATE(Calcolo!$B$4,1,1)+222,"")</f>
        <v>45880</v>
      </c>
      <c r="C224" s="17" t="n">
        <f aca="false">IF(B224="","",Calcolo!$B$5+SUMIFS(Calcolo!$C$16:$C$515,Calcolo!$A$16:$A$515,"&gt;="&amp;DATE(Calcolo!$B$4,1,1),Calcolo!$A$16:$A$515,"&lt;="&amp;B224))</f>
        <v>2700</v>
      </c>
      <c r="D224" s="17" t="n">
        <f aca="false">IF(B224="",0,IF(Calcolo!$B$7="SI",MAX(0,C224),C224))</f>
        <v>2700</v>
      </c>
    </row>
    <row r="225" customFormat="false" ht="15" hidden="false" customHeight="false" outlineLevel="0" collapsed="false">
      <c r="A225" s="15" t="n">
        <v>224</v>
      </c>
      <c r="B225" s="16" t="n">
        <f aca="false">IF(YEAR(DATE(Calcolo!$B$4,1,1)+223)=Calcolo!$B$4,DATE(Calcolo!$B$4,1,1)+223,"")</f>
        <v>45881</v>
      </c>
      <c r="C225" s="17" t="n">
        <f aca="false">IF(B225="","",Calcolo!$B$5+SUMIFS(Calcolo!$C$16:$C$515,Calcolo!$A$16:$A$515,"&gt;="&amp;DATE(Calcolo!$B$4,1,1),Calcolo!$A$16:$A$515,"&lt;="&amp;B225))</f>
        <v>2700</v>
      </c>
      <c r="D225" s="17" t="n">
        <f aca="false">IF(B225="",0,IF(Calcolo!$B$7="SI",MAX(0,C225),C225))</f>
        <v>2700</v>
      </c>
    </row>
    <row r="226" customFormat="false" ht="15" hidden="false" customHeight="false" outlineLevel="0" collapsed="false">
      <c r="A226" s="15" t="n">
        <v>225</v>
      </c>
      <c r="B226" s="16" t="n">
        <f aca="false">IF(YEAR(DATE(Calcolo!$B$4,1,1)+224)=Calcolo!$B$4,DATE(Calcolo!$B$4,1,1)+224,"")</f>
        <v>45882</v>
      </c>
      <c r="C226" s="17" t="n">
        <f aca="false">IF(B226="","",Calcolo!$B$5+SUMIFS(Calcolo!$C$16:$C$515,Calcolo!$A$16:$A$515,"&gt;="&amp;DATE(Calcolo!$B$4,1,1),Calcolo!$A$16:$A$515,"&lt;="&amp;B226))</f>
        <v>2700</v>
      </c>
      <c r="D226" s="17" t="n">
        <f aca="false">IF(B226="",0,IF(Calcolo!$B$7="SI",MAX(0,C226),C226))</f>
        <v>2700</v>
      </c>
    </row>
    <row r="227" customFormat="false" ht="15" hidden="false" customHeight="false" outlineLevel="0" collapsed="false">
      <c r="A227" s="15" t="n">
        <v>226</v>
      </c>
      <c r="B227" s="16" t="n">
        <f aca="false">IF(YEAR(DATE(Calcolo!$B$4,1,1)+225)=Calcolo!$B$4,DATE(Calcolo!$B$4,1,1)+225,"")</f>
        <v>45883</v>
      </c>
      <c r="C227" s="17" t="n">
        <f aca="false">IF(B227="","",Calcolo!$B$5+SUMIFS(Calcolo!$C$16:$C$515,Calcolo!$A$16:$A$515,"&gt;="&amp;DATE(Calcolo!$B$4,1,1),Calcolo!$A$16:$A$515,"&lt;="&amp;B227))</f>
        <v>2700</v>
      </c>
      <c r="D227" s="17" t="n">
        <f aca="false">IF(B227="",0,IF(Calcolo!$B$7="SI",MAX(0,C227),C227))</f>
        <v>2700</v>
      </c>
    </row>
    <row r="228" customFormat="false" ht="15" hidden="false" customHeight="false" outlineLevel="0" collapsed="false">
      <c r="A228" s="15" t="n">
        <v>227</v>
      </c>
      <c r="B228" s="16" t="n">
        <f aca="false">IF(YEAR(DATE(Calcolo!$B$4,1,1)+226)=Calcolo!$B$4,DATE(Calcolo!$B$4,1,1)+226,"")</f>
        <v>45884</v>
      </c>
      <c r="C228" s="17" t="n">
        <f aca="false">IF(B228="","",Calcolo!$B$5+SUMIFS(Calcolo!$C$16:$C$515,Calcolo!$A$16:$A$515,"&gt;="&amp;DATE(Calcolo!$B$4,1,1),Calcolo!$A$16:$A$515,"&lt;="&amp;B228))</f>
        <v>2700</v>
      </c>
      <c r="D228" s="17" t="n">
        <f aca="false">IF(B228="",0,IF(Calcolo!$B$7="SI",MAX(0,C228),C228))</f>
        <v>2700</v>
      </c>
    </row>
    <row r="229" customFormat="false" ht="15" hidden="false" customHeight="false" outlineLevel="0" collapsed="false">
      <c r="A229" s="15" t="n">
        <v>228</v>
      </c>
      <c r="B229" s="16" t="n">
        <f aca="false">IF(YEAR(DATE(Calcolo!$B$4,1,1)+227)=Calcolo!$B$4,DATE(Calcolo!$B$4,1,1)+227,"")</f>
        <v>45885</v>
      </c>
      <c r="C229" s="17" t="n">
        <f aca="false">IF(B229="","",Calcolo!$B$5+SUMIFS(Calcolo!$C$16:$C$515,Calcolo!$A$16:$A$515,"&gt;="&amp;DATE(Calcolo!$B$4,1,1),Calcolo!$A$16:$A$515,"&lt;="&amp;B229))</f>
        <v>2700</v>
      </c>
      <c r="D229" s="17" t="n">
        <f aca="false">IF(B229="",0,IF(Calcolo!$B$7="SI",MAX(0,C229),C229))</f>
        <v>2700</v>
      </c>
    </row>
    <row r="230" customFormat="false" ht="15" hidden="false" customHeight="false" outlineLevel="0" collapsed="false">
      <c r="A230" s="15" t="n">
        <v>229</v>
      </c>
      <c r="B230" s="16" t="n">
        <f aca="false">IF(YEAR(DATE(Calcolo!$B$4,1,1)+228)=Calcolo!$B$4,DATE(Calcolo!$B$4,1,1)+228,"")</f>
        <v>45886</v>
      </c>
      <c r="C230" s="17" t="n">
        <f aca="false">IF(B230="","",Calcolo!$B$5+SUMIFS(Calcolo!$C$16:$C$515,Calcolo!$A$16:$A$515,"&gt;="&amp;DATE(Calcolo!$B$4,1,1),Calcolo!$A$16:$A$515,"&lt;="&amp;B230))</f>
        <v>2700</v>
      </c>
      <c r="D230" s="17" t="n">
        <f aca="false">IF(B230="",0,IF(Calcolo!$B$7="SI",MAX(0,C230),C230))</f>
        <v>2700</v>
      </c>
    </row>
    <row r="231" customFormat="false" ht="15" hidden="false" customHeight="false" outlineLevel="0" collapsed="false">
      <c r="A231" s="15" t="n">
        <v>230</v>
      </c>
      <c r="B231" s="16" t="n">
        <f aca="false">IF(YEAR(DATE(Calcolo!$B$4,1,1)+229)=Calcolo!$B$4,DATE(Calcolo!$B$4,1,1)+229,"")</f>
        <v>45887</v>
      </c>
      <c r="C231" s="17" t="n">
        <f aca="false">IF(B231="","",Calcolo!$B$5+SUMIFS(Calcolo!$C$16:$C$515,Calcolo!$A$16:$A$515,"&gt;="&amp;DATE(Calcolo!$B$4,1,1),Calcolo!$A$16:$A$515,"&lt;="&amp;B231))</f>
        <v>2700</v>
      </c>
      <c r="D231" s="17" t="n">
        <f aca="false">IF(B231="",0,IF(Calcolo!$B$7="SI",MAX(0,C231),C231))</f>
        <v>2700</v>
      </c>
    </row>
    <row r="232" customFormat="false" ht="15" hidden="false" customHeight="false" outlineLevel="0" collapsed="false">
      <c r="A232" s="15" t="n">
        <v>231</v>
      </c>
      <c r="B232" s="16" t="n">
        <f aca="false">IF(YEAR(DATE(Calcolo!$B$4,1,1)+230)=Calcolo!$B$4,DATE(Calcolo!$B$4,1,1)+230,"")</f>
        <v>45888</v>
      </c>
      <c r="C232" s="17" t="n">
        <f aca="false">IF(B232="","",Calcolo!$B$5+SUMIFS(Calcolo!$C$16:$C$515,Calcolo!$A$16:$A$515,"&gt;="&amp;DATE(Calcolo!$B$4,1,1),Calcolo!$A$16:$A$515,"&lt;="&amp;B232))</f>
        <v>2700</v>
      </c>
      <c r="D232" s="17" t="n">
        <f aca="false">IF(B232="",0,IF(Calcolo!$B$7="SI",MAX(0,C232),C232))</f>
        <v>2700</v>
      </c>
    </row>
    <row r="233" customFormat="false" ht="15" hidden="false" customHeight="false" outlineLevel="0" collapsed="false">
      <c r="A233" s="15" t="n">
        <v>232</v>
      </c>
      <c r="B233" s="16" t="n">
        <f aca="false">IF(YEAR(DATE(Calcolo!$B$4,1,1)+231)=Calcolo!$B$4,DATE(Calcolo!$B$4,1,1)+231,"")</f>
        <v>45889</v>
      </c>
      <c r="C233" s="17" t="n">
        <f aca="false">IF(B233="","",Calcolo!$B$5+SUMIFS(Calcolo!$C$16:$C$515,Calcolo!$A$16:$A$515,"&gt;="&amp;DATE(Calcolo!$B$4,1,1),Calcolo!$A$16:$A$515,"&lt;="&amp;B233))</f>
        <v>2700</v>
      </c>
      <c r="D233" s="17" t="n">
        <f aca="false">IF(B233="",0,IF(Calcolo!$B$7="SI",MAX(0,C233),C233))</f>
        <v>2700</v>
      </c>
    </row>
    <row r="234" customFormat="false" ht="15" hidden="false" customHeight="false" outlineLevel="0" collapsed="false">
      <c r="A234" s="15" t="n">
        <v>233</v>
      </c>
      <c r="B234" s="16" t="n">
        <f aca="false">IF(YEAR(DATE(Calcolo!$B$4,1,1)+232)=Calcolo!$B$4,DATE(Calcolo!$B$4,1,1)+232,"")</f>
        <v>45890</v>
      </c>
      <c r="C234" s="17" t="n">
        <f aca="false">IF(B234="","",Calcolo!$B$5+SUMIFS(Calcolo!$C$16:$C$515,Calcolo!$A$16:$A$515,"&gt;="&amp;DATE(Calcolo!$B$4,1,1),Calcolo!$A$16:$A$515,"&lt;="&amp;B234))</f>
        <v>2700</v>
      </c>
      <c r="D234" s="17" t="n">
        <f aca="false">IF(B234="",0,IF(Calcolo!$B$7="SI",MAX(0,C234),C234))</f>
        <v>2700</v>
      </c>
    </row>
    <row r="235" customFormat="false" ht="15" hidden="false" customHeight="false" outlineLevel="0" collapsed="false">
      <c r="A235" s="15" t="n">
        <v>234</v>
      </c>
      <c r="B235" s="16" t="n">
        <f aca="false">IF(YEAR(DATE(Calcolo!$B$4,1,1)+233)=Calcolo!$B$4,DATE(Calcolo!$B$4,1,1)+233,"")</f>
        <v>45891</v>
      </c>
      <c r="C235" s="17" t="n">
        <f aca="false">IF(B235="","",Calcolo!$B$5+SUMIFS(Calcolo!$C$16:$C$515,Calcolo!$A$16:$A$515,"&gt;="&amp;DATE(Calcolo!$B$4,1,1),Calcolo!$A$16:$A$515,"&lt;="&amp;B235))</f>
        <v>2700</v>
      </c>
      <c r="D235" s="17" t="n">
        <f aca="false">IF(B235="",0,IF(Calcolo!$B$7="SI",MAX(0,C235),C235))</f>
        <v>2700</v>
      </c>
    </row>
    <row r="236" customFormat="false" ht="15" hidden="false" customHeight="false" outlineLevel="0" collapsed="false">
      <c r="A236" s="15" t="n">
        <v>235</v>
      </c>
      <c r="B236" s="16" t="n">
        <f aca="false">IF(YEAR(DATE(Calcolo!$B$4,1,1)+234)=Calcolo!$B$4,DATE(Calcolo!$B$4,1,1)+234,"")</f>
        <v>45892</v>
      </c>
      <c r="C236" s="17" t="n">
        <f aca="false">IF(B236="","",Calcolo!$B$5+SUMIFS(Calcolo!$C$16:$C$515,Calcolo!$A$16:$A$515,"&gt;="&amp;DATE(Calcolo!$B$4,1,1),Calcolo!$A$16:$A$515,"&lt;="&amp;B236))</f>
        <v>2700</v>
      </c>
      <c r="D236" s="17" t="n">
        <f aca="false">IF(B236="",0,IF(Calcolo!$B$7="SI",MAX(0,C236),C236))</f>
        <v>2700</v>
      </c>
    </row>
    <row r="237" customFormat="false" ht="15" hidden="false" customHeight="false" outlineLevel="0" collapsed="false">
      <c r="A237" s="15" t="n">
        <v>236</v>
      </c>
      <c r="B237" s="16" t="n">
        <f aca="false">IF(YEAR(DATE(Calcolo!$B$4,1,1)+235)=Calcolo!$B$4,DATE(Calcolo!$B$4,1,1)+235,"")</f>
        <v>45893</v>
      </c>
      <c r="C237" s="17" t="n">
        <f aca="false">IF(B237="","",Calcolo!$B$5+SUMIFS(Calcolo!$C$16:$C$515,Calcolo!$A$16:$A$515,"&gt;="&amp;DATE(Calcolo!$B$4,1,1),Calcolo!$A$16:$A$515,"&lt;="&amp;B237))</f>
        <v>2700</v>
      </c>
      <c r="D237" s="17" t="n">
        <f aca="false">IF(B237="",0,IF(Calcolo!$B$7="SI",MAX(0,C237),C237))</f>
        <v>2700</v>
      </c>
    </row>
    <row r="238" customFormat="false" ht="15" hidden="false" customHeight="false" outlineLevel="0" collapsed="false">
      <c r="A238" s="15" t="n">
        <v>237</v>
      </c>
      <c r="B238" s="16" t="n">
        <f aca="false">IF(YEAR(DATE(Calcolo!$B$4,1,1)+236)=Calcolo!$B$4,DATE(Calcolo!$B$4,1,1)+236,"")</f>
        <v>45894</v>
      </c>
      <c r="C238" s="17" t="n">
        <f aca="false">IF(B238="","",Calcolo!$B$5+SUMIFS(Calcolo!$C$16:$C$515,Calcolo!$A$16:$A$515,"&gt;="&amp;DATE(Calcolo!$B$4,1,1),Calcolo!$A$16:$A$515,"&lt;="&amp;B238))</f>
        <v>2700</v>
      </c>
      <c r="D238" s="17" t="n">
        <f aca="false">IF(B238="",0,IF(Calcolo!$B$7="SI",MAX(0,C238),C238))</f>
        <v>2700</v>
      </c>
    </row>
    <row r="239" customFormat="false" ht="15" hidden="false" customHeight="false" outlineLevel="0" collapsed="false">
      <c r="A239" s="15" t="n">
        <v>238</v>
      </c>
      <c r="B239" s="16" t="n">
        <f aca="false">IF(YEAR(DATE(Calcolo!$B$4,1,1)+237)=Calcolo!$B$4,DATE(Calcolo!$B$4,1,1)+237,"")</f>
        <v>45895</v>
      </c>
      <c r="C239" s="17" t="n">
        <f aca="false">IF(B239="","",Calcolo!$B$5+SUMIFS(Calcolo!$C$16:$C$515,Calcolo!$A$16:$A$515,"&gt;="&amp;DATE(Calcolo!$B$4,1,1),Calcolo!$A$16:$A$515,"&lt;="&amp;B239))</f>
        <v>2700</v>
      </c>
      <c r="D239" s="17" t="n">
        <f aca="false">IF(B239="",0,IF(Calcolo!$B$7="SI",MAX(0,C239),C239))</f>
        <v>2700</v>
      </c>
    </row>
    <row r="240" customFormat="false" ht="15" hidden="false" customHeight="false" outlineLevel="0" collapsed="false">
      <c r="A240" s="15" t="n">
        <v>239</v>
      </c>
      <c r="B240" s="16" t="n">
        <f aca="false">IF(YEAR(DATE(Calcolo!$B$4,1,1)+238)=Calcolo!$B$4,DATE(Calcolo!$B$4,1,1)+238,"")</f>
        <v>45896</v>
      </c>
      <c r="C240" s="17" t="n">
        <f aca="false">IF(B240="","",Calcolo!$B$5+SUMIFS(Calcolo!$C$16:$C$515,Calcolo!$A$16:$A$515,"&gt;="&amp;DATE(Calcolo!$B$4,1,1),Calcolo!$A$16:$A$515,"&lt;="&amp;B240))</f>
        <v>2700</v>
      </c>
      <c r="D240" s="17" t="n">
        <f aca="false">IF(B240="",0,IF(Calcolo!$B$7="SI",MAX(0,C240),C240))</f>
        <v>2700</v>
      </c>
    </row>
    <row r="241" customFormat="false" ht="15" hidden="false" customHeight="false" outlineLevel="0" collapsed="false">
      <c r="A241" s="15" t="n">
        <v>240</v>
      </c>
      <c r="B241" s="16" t="n">
        <f aca="false">IF(YEAR(DATE(Calcolo!$B$4,1,1)+239)=Calcolo!$B$4,DATE(Calcolo!$B$4,1,1)+239,"")</f>
        <v>45897</v>
      </c>
      <c r="C241" s="17" t="n">
        <f aca="false">IF(B241="","",Calcolo!$B$5+SUMIFS(Calcolo!$C$16:$C$515,Calcolo!$A$16:$A$515,"&gt;="&amp;DATE(Calcolo!$B$4,1,1),Calcolo!$A$16:$A$515,"&lt;="&amp;B241))</f>
        <v>2700</v>
      </c>
      <c r="D241" s="17" t="n">
        <f aca="false">IF(B241="",0,IF(Calcolo!$B$7="SI",MAX(0,C241),C241))</f>
        <v>2700</v>
      </c>
    </row>
    <row r="242" customFormat="false" ht="15" hidden="false" customHeight="false" outlineLevel="0" collapsed="false">
      <c r="A242" s="15" t="n">
        <v>241</v>
      </c>
      <c r="B242" s="16" t="n">
        <f aca="false">IF(YEAR(DATE(Calcolo!$B$4,1,1)+240)=Calcolo!$B$4,DATE(Calcolo!$B$4,1,1)+240,"")</f>
        <v>45898</v>
      </c>
      <c r="C242" s="17" t="n">
        <f aca="false">IF(B242="","",Calcolo!$B$5+SUMIFS(Calcolo!$C$16:$C$515,Calcolo!$A$16:$A$515,"&gt;="&amp;DATE(Calcolo!$B$4,1,1),Calcolo!$A$16:$A$515,"&lt;="&amp;B242))</f>
        <v>2700</v>
      </c>
      <c r="D242" s="17" t="n">
        <f aca="false">IF(B242="",0,IF(Calcolo!$B$7="SI",MAX(0,C242),C242))</f>
        <v>2700</v>
      </c>
    </row>
    <row r="243" customFormat="false" ht="15" hidden="false" customHeight="false" outlineLevel="0" collapsed="false">
      <c r="A243" s="15" t="n">
        <v>242</v>
      </c>
      <c r="B243" s="16" t="n">
        <f aca="false">IF(YEAR(DATE(Calcolo!$B$4,1,1)+241)=Calcolo!$B$4,DATE(Calcolo!$B$4,1,1)+241,"")</f>
        <v>45899</v>
      </c>
      <c r="C243" s="17" t="n">
        <f aca="false">IF(B243="","",Calcolo!$B$5+SUMIFS(Calcolo!$C$16:$C$515,Calcolo!$A$16:$A$515,"&gt;="&amp;DATE(Calcolo!$B$4,1,1),Calcolo!$A$16:$A$515,"&lt;="&amp;B243))</f>
        <v>2700</v>
      </c>
      <c r="D243" s="17" t="n">
        <f aca="false">IF(B243="",0,IF(Calcolo!$B$7="SI",MAX(0,C243),C243))</f>
        <v>2700</v>
      </c>
    </row>
    <row r="244" customFormat="false" ht="15" hidden="false" customHeight="false" outlineLevel="0" collapsed="false">
      <c r="A244" s="15" t="n">
        <v>243</v>
      </c>
      <c r="B244" s="16" t="n">
        <f aca="false">IF(YEAR(DATE(Calcolo!$B$4,1,1)+242)=Calcolo!$B$4,DATE(Calcolo!$B$4,1,1)+242,"")</f>
        <v>45900</v>
      </c>
      <c r="C244" s="17" t="n">
        <f aca="false">IF(B244="","",Calcolo!$B$5+SUMIFS(Calcolo!$C$16:$C$515,Calcolo!$A$16:$A$515,"&gt;="&amp;DATE(Calcolo!$B$4,1,1),Calcolo!$A$16:$A$515,"&lt;="&amp;B244))</f>
        <v>2700</v>
      </c>
      <c r="D244" s="17" t="n">
        <f aca="false">IF(B244="",0,IF(Calcolo!$B$7="SI",MAX(0,C244),C244))</f>
        <v>2700</v>
      </c>
    </row>
    <row r="245" customFormat="false" ht="15" hidden="false" customHeight="false" outlineLevel="0" collapsed="false">
      <c r="A245" s="15" t="n">
        <v>244</v>
      </c>
      <c r="B245" s="16" t="n">
        <f aca="false">IF(YEAR(DATE(Calcolo!$B$4,1,1)+243)=Calcolo!$B$4,DATE(Calcolo!$B$4,1,1)+243,"")</f>
        <v>45901</v>
      </c>
      <c r="C245" s="17" t="n">
        <f aca="false">IF(B245="","",Calcolo!$B$5+SUMIFS(Calcolo!$C$16:$C$515,Calcolo!$A$16:$A$515,"&gt;="&amp;DATE(Calcolo!$B$4,1,1),Calcolo!$A$16:$A$515,"&lt;="&amp;B245))</f>
        <v>2700</v>
      </c>
      <c r="D245" s="17" t="n">
        <f aca="false">IF(B245="",0,IF(Calcolo!$B$7="SI",MAX(0,C245),C245))</f>
        <v>2700</v>
      </c>
    </row>
    <row r="246" customFormat="false" ht="15" hidden="false" customHeight="false" outlineLevel="0" collapsed="false">
      <c r="A246" s="15" t="n">
        <v>245</v>
      </c>
      <c r="B246" s="16" t="n">
        <f aca="false">IF(YEAR(DATE(Calcolo!$B$4,1,1)+244)=Calcolo!$B$4,DATE(Calcolo!$B$4,1,1)+244,"")</f>
        <v>45902</v>
      </c>
      <c r="C246" s="17" t="n">
        <f aca="false">IF(B246="","",Calcolo!$B$5+SUMIFS(Calcolo!$C$16:$C$515,Calcolo!$A$16:$A$515,"&gt;="&amp;DATE(Calcolo!$B$4,1,1),Calcolo!$A$16:$A$515,"&lt;="&amp;B246))</f>
        <v>2700</v>
      </c>
      <c r="D246" s="17" t="n">
        <f aca="false">IF(B246="",0,IF(Calcolo!$B$7="SI",MAX(0,C246),C246))</f>
        <v>2700</v>
      </c>
    </row>
    <row r="247" customFormat="false" ht="15" hidden="false" customHeight="false" outlineLevel="0" collapsed="false">
      <c r="A247" s="15" t="n">
        <v>246</v>
      </c>
      <c r="B247" s="16" t="n">
        <f aca="false">IF(YEAR(DATE(Calcolo!$B$4,1,1)+245)=Calcolo!$B$4,DATE(Calcolo!$B$4,1,1)+245,"")</f>
        <v>45903</v>
      </c>
      <c r="C247" s="17" t="n">
        <f aca="false">IF(B247="","",Calcolo!$B$5+SUMIFS(Calcolo!$C$16:$C$515,Calcolo!$A$16:$A$515,"&gt;="&amp;DATE(Calcolo!$B$4,1,1),Calcolo!$A$16:$A$515,"&lt;="&amp;B247))</f>
        <v>2700</v>
      </c>
      <c r="D247" s="17" t="n">
        <f aca="false">IF(B247="",0,IF(Calcolo!$B$7="SI",MAX(0,C247),C247))</f>
        <v>2700</v>
      </c>
    </row>
    <row r="248" customFormat="false" ht="15" hidden="false" customHeight="false" outlineLevel="0" collapsed="false">
      <c r="A248" s="15" t="n">
        <v>247</v>
      </c>
      <c r="B248" s="16" t="n">
        <f aca="false">IF(YEAR(DATE(Calcolo!$B$4,1,1)+246)=Calcolo!$B$4,DATE(Calcolo!$B$4,1,1)+246,"")</f>
        <v>45904</v>
      </c>
      <c r="C248" s="17" t="n">
        <f aca="false">IF(B248="","",Calcolo!$B$5+SUMIFS(Calcolo!$C$16:$C$515,Calcolo!$A$16:$A$515,"&gt;="&amp;DATE(Calcolo!$B$4,1,1),Calcolo!$A$16:$A$515,"&lt;="&amp;B248))</f>
        <v>2700</v>
      </c>
      <c r="D248" s="17" t="n">
        <f aca="false">IF(B248="",0,IF(Calcolo!$B$7="SI",MAX(0,C248),C248))</f>
        <v>2700</v>
      </c>
    </row>
    <row r="249" customFormat="false" ht="15" hidden="false" customHeight="false" outlineLevel="0" collapsed="false">
      <c r="A249" s="15" t="n">
        <v>248</v>
      </c>
      <c r="B249" s="16" t="n">
        <f aca="false">IF(YEAR(DATE(Calcolo!$B$4,1,1)+247)=Calcolo!$B$4,DATE(Calcolo!$B$4,1,1)+247,"")</f>
        <v>45905</v>
      </c>
      <c r="C249" s="17" t="n">
        <f aca="false">IF(B249="","",Calcolo!$B$5+SUMIFS(Calcolo!$C$16:$C$515,Calcolo!$A$16:$A$515,"&gt;="&amp;DATE(Calcolo!$B$4,1,1),Calcolo!$A$16:$A$515,"&lt;="&amp;B249))</f>
        <v>2700</v>
      </c>
      <c r="D249" s="17" t="n">
        <f aca="false">IF(B249="",0,IF(Calcolo!$B$7="SI",MAX(0,C249),C249))</f>
        <v>2700</v>
      </c>
    </row>
    <row r="250" customFormat="false" ht="15" hidden="false" customHeight="false" outlineLevel="0" collapsed="false">
      <c r="A250" s="15" t="n">
        <v>249</v>
      </c>
      <c r="B250" s="16" t="n">
        <f aca="false">IF(YEAR(DATE(Calcolo!$B$4,1,1)+248)=Calcolo!$B$4,DATE(Calcolo!$B$4,1,1)+248,"")</f>
        <v>45906</v>
      </c>
      <c r="C250" s="17" t="n">
        <f aca="false">IF(B250="","",Calcolo!$B$5+SUMIFS(Calcolo!$C$16:$C$515,Calcolo!$A$16:$A$515,"&gt;="&amp;DATE(Calcolo!$B$4,1,1),Calcolo!$A$16:$A$515,"&lt;="&amp;B250))</f>
        <v>2700</v>
      </c>
      <c r="D250" s="17" t="n">
        <f aca="false">IF(B250="",0,IF(Calcolo!$B$7="SI",MAX(0,C250),C250))</f>
        <v>2700</v>
      </c>
    </row>
    <row r="251" customFormat="false" ht="15" hidden="false" customHeight="false" outlineLevel="0" collapsed="false">
      <c r="A251" s="15" t="n">
        <v>250</v>
      </c>
      <c r="B251" s="16" t="n">
        <f aca="false">IF(YEAR(DATE(Calcolo!$B$4,1,1)+249)=Calcolo!$B$4,DATE(Calcolo!$B$4,1,1)+249,"")</f>
        <v>45907</v>
      </c>
      <c r="C251" s="17" t="n">
        <f aca="false">IF(B251="","",Calcolo!$B$5+SUMIFS(Calcolo!$C$16:$C$515,Calcolo!$A$16:$A$515,"&gt;="&amp;DATE(Calcolo!$B$4,1,1),Calcolo!$A$16:$A$515,"&lt;="&amp;B251))</f>
        <v>2700</v>
      </c>
      <c r="D251" s="17" t="n">
        <f aca="false">IF(B251="",0,IF(Calcolo!$B$7="SI",MAX(0,C251),C251))</f>
        <v>2700</v>
      </c>
    </row>
    <row r="252" customFormat="false" ht="15" hidden="false" customHeight="false" outlineLevel="0" collapsed="false">
      <c r="A252" s="15" t="n">
        <v>251</v>
      </c>
      <c r="B252" s="16" t="n">
        <f aca="false">IF(YEAR(DATE(Calcolo!$B$4,1,1)+250)=Calcolo!$B$4,DATE(Calcolo!$B$4,1,1)+250,"")</f>
        <v>45908</v>
      </c>
      <c r="C252" s="17" t="n">
        <f aca="false">IF(B252="","",Calcolo!$B$5+SUMIFS(Calcolo!$C$16:$C$515,Calcolo!$A$16:$A$515,"&gt;="&amp;DATE(Calcolo!$B$4,1,1),Calcolo!$A$16:$A$515,"&lt;="&amp;B252))</f>
        <v>2700</v>
      </c>
      <c r="D252" s="17" t="n">
        <f aca="false">IF(B252="",0,IF(Calcolo!$B$7="SI",MAX(0,C252),C252))</f>
        <v>2700</v>
      </c>
    </row>
    <row r="253" customFormat="false" ht="15" hidden="false" customHeight="false" outlineLevel="0" collapsed="false">
      <c r="A253" s="15" t="n">
        <v>252</v>
      </c>
      <c r="B253" s="16" t="n">
        <f aca="false">IF(YEAR(DATE(Calcolo!$B$4,1,1)+251)=Calcolo!$B$4,DATE(Calcolo!$B$4,1,1)+251,"")</f>
        <v>45909</v>
      </c>
      <c r="C253" s="17" t="n">
        <f aca="false">IF(B253="","",Calcolo!$B$5+SUMIFS(Calcolo!$C$16:$C$515,Calcolo!$A$16:$A$515,"&gt;="&amp;DATE(Calcolo!$B$4,1,1),Calcolo!$A$16:$A$515,"&lt;="&amp;B253))</f>
        <v>2700</v>
      </c>
      <c r="D253" s="17" t="n">
        <f aca="false">IF(B253="",0,IF(Calcolo!$B$7="SI",MAX(0,C253),C253))</f>
        <v>2700</v>
      </c>
    </row>
    <row r="254" customFormat="false" ht="15" hidden="false" customHeight="false" outlineLevel="0" collapsed="false">
      <c r="A254" s="15" t="n">
        <v>253</v>
      </c>
      <c r="B254" s="16" t="n">
        <f aca="false">IF(YEAR(DATE(Calcolo!$B$4,1,1)+252)=Calcolo!$B$4,DATE(Calcolo!$B$4,1,1)+252,"")</f>
        <v>45910</v>
      </c>
      <c r="C254" s="17" t="n">
        <f aca="false">IF(B254="","",Calcolo!$B$5+SUMIFS(Calcolo!$C$16:$C$515,Calcolo!$A$16:$A$515,"&gt;="&amp;DATE(Calcolo!$B$4,1,1),Calcolo!$A$16:$A$515,"&lt;="&amp;B254))</f>
        <v>2700</v>
      </c>
      <c r="D254" s="17" t="n">
        <f aca="false">IF(B254="",0,IF(Calcolo!$B$7="SI",MAX(0,C254),C254))</f>
        <v>2700</v>
      </c>
    </row>
    <row r="255" customFormat="false" ht="15" hidden="false" customHeight="false" outlineLevel="0" collapsed="false">
      <c r="A255" s="15" t="n">
        <v>254</v>
      </c>
      <c r="B255" s="16" t="n">
        <f aca="false">IF(YEAR(DATE(Calcolo!$B$4,1,1)+253)=Calcolo!$B$4,DATE(Calcolo!$B$4,1,1)+253,"")</f>
        <v>45911</v>
      </c>
      <c r="C255" s="17" t="n">
        <f aca="false">IF(B255="","",Calcolo!$B$5+SUMIFS(Calcolo!$C$16:$C$515,Calcolo!$A$16:$A$515,"&gt;="&amp;DATE(Calcolo!$B$4,1,1),Calcolo!$A$16:$A$515,"&lt;="&amp;B255))</f>
        <v>2700</v>
      </c>
      <c r="D255" s="17" t="n">
        <f aca="false">IF(B255="",0,IF(Calcolo!$B$7="SI",MAX(0,C255),C255))</f>
        <v>2700</v>
      </c>
    </row>
    <row r="256" customFormat="false" ht="15" hidden="false" customHeight="false" outlineLevel="0" collapsed="false">
      <c r="A256" s="15" t="n">
        <v>255</v>
      </c>
      <c r="B256" s="16" t="n">
        <f aca="false">IF(YEAR(DATE(Calcolo!$B$4,1,1)+254)=Calcolo!$B$4,DATE(Calcolo!$B$4,1,1)+254,"")</f>
        <v>45912</v>
      </c>
      <c r="C256" s="17" t="n">
        <f aca="false">IF(B256="","",Calcolo!$B$5+SUMIFS(Calcolo!$C$16:$C$515,Calcolo!$A$16:$A$515,"&gt;="&amp;DATE(Calcolo!$B$4,1,1),Calcolo!$A$16:$A$515,"&lt;="&amp;B256))</f>
        <v>2700</v>
      </c>
      <c r="D256" s="17" t="n">
        <f aca="false">IF(B256="",0,IF(Calcolo!$B$7="SI",MAX(0,C256),C256))</f>
        <v>2700</v>
      </c>
    </row>
    <row r="257" customFormat="false" ht="15" hidden="false" customHeight="false" outlineLevel="0" collapsed="false">
      <c r="A257" s="15" t="n">
        <v>256</v>
      </c>
      <c r="B257" s="16" t="n">
        <f aca="false">IF(YEAR(DATE(Calcolo!$B$4,1,1)+255)=Calcolo!$B$4,DATE(Calcolo!$B$4,1,1)+255,"")</f>
        <v>45913</v>
      </c>
      <c r="C257" s="17" t="n">
        <f aca="false">IF(B257="","",Calcolo!$B$5+SUMIFS(Calcolo!$C$16:$C$515,Calcolo!$A$16:$A$515,"&gt;="&amp;DATE(Calcolo!$B$4,1,1),Calcolo!$A$16:$A$515,"&lt;="&amp;B257))</f>
        <v>2700</v>
      </c>
      <c r="D257" s="17" t="n">
        <f aca="false">IF(B257="",0,IF(Calcolo!$B$7="SI",MAX(0,C257),C257))</f>
        <v>2700</v>
      </c>
    </row>
    <row r="258" customFormat="false" ht="15" hidden="false" customHeight="false" outlineLevel="0" collapsed="false">
      <c r="A258" s="15" t="n">
        <v>257</v>
      </c>
      <c r="B258" s="16" t="n">
        <f aca="false">IF(YEAR(DATE(Calcolo!$B$4,1,1)+256)=Calcolo!$B$4,DATE(Calcolo!$B$4,1,1)+256,"")</f>
        <v>45914</v>
      </c>
      <c r="C258" s="17" t="n">
        <f aca="false">IF(B258="","",Calcolo!$B$5+SUMIFS(Calcolo!$C$16:$C$515,Calcolo!$A$16:$A$515,"&gt;="&amp;DATE(Calcolo!$B$4,1,1),Calcolo!$A$16:$A$515,"&lt;="&amp;B258))</f>
        <v>2700</v>
      </c>
      <c r="D258" s="17" t="n">
        <f aca="false">IF(B258="",0,IF(Calcolo!$B$7="SI",MAX(0,C258),C258))</f>
        <v>2700</v>
      </c>
    </row>
    <row r="259" customFormat="false" ht="15" hidden="false" customHeight="false" outlineLevel="0" collapsed="false">
      <c r="A259" s="15" t="n">
        <v>258</v>
      </c>
      <c r="B259" s="16" t="n">
        <f aca="false">IF(YEAR(DATE(Calcolo!$B$4,1,1)+257)=Calcolo!$B$4,DATE(Calcolo!$B$4,1,1)+257,"")</f>
        <v>45915</v>
      </c>
      <c r="C259" s="17" t="n">
        <f aca="false">IF(B259="","",Calcolo!$B$5+SUMIFS(Calcolo!$C$16:$C$515,Calcolo!$A$16:$A$515,"&gt;="&amp;DATE(Calcolo!$B$4,1,1),Calcolo!$A$16:$A$515,"&lt;="&amp;B259))</f>
        <v>2700</v>
      </c>
      <c r="D259" s="17" t="n">
        <f aca="false">IF(B259="",0,IF(Calcolo!$B$7="SI",MAX(0,C259),C259))</f>
        <v>2700</v>
      </c>
    </row>
    <row r="260" customFormat="false" ht="15" hidden="false" customHeight="false" outlineLevel="0" collapsed="false">
      <c r="A260" s="15" t="n">
        <v>259</v>
      </c>
      <c r="B260" s="16" t="n">
        <f aca="false">IF(YEAR(DATE(Calcolo!$B$4,1,1)+258)=Calcolo!$B$4,DATE(Calcolo!$B$4,1,1)+258,"")</f>
        <v>45916</v>
      </c>
      <c r="C260" s="17" t="n">
        <f aca="false">IF(B260="","",Calcolo!$B$5+SUMIFS(Calcolo!$C$16:$C$515,Calcolo!$A$16:$A$515,"&gt;="&amp;DATE(Calcolo!$B$4,1,1),Calcolo!$A$16:$A$515,"&lt;="&amp;B260))</f>
        <v>2700</v>
      </c>
      <c r="D260" s="17" t="n">
        <f aca="false">IF(B260="",0,IF(Calcolo!$B$7="SI",MAX(0,C260),C260))</f>
        <v>2700</v>
      </c>
    </row>
    <row r="261" customFormat="false" ht="15" hidden="false" customHeight="false" outlineLevel="0" collapsed="false">
      <c r="A261" s="15" t="n">
        <v>260</v>
      </c>
      <c r="B261" s="16" t="n">
        <f aca="false">IF(YEAR(DATE(Calcolo!$B$4,1,1)+259)=Calcolo!$B$4,DATE(Calcolo!$B$4,1,1)+259,"")</f>
        <v>45917</v>
      </c>
      <c r="C261" s="17" t="n">
        <f aca="false">IF(B261="","",Calcolo!$B$5+SUMIFS(Calcolo!$C$16:$C$515,Calcolo!$A$16:$A$515,"&gt;="&amp;DATE(Calcolo!$B$4,1,1),Calcolo!$A$16:$A$515,"&lt;="&amp;B261))</f>
        <v>2700</v>
      </c>
      <c r="D261" s="17" t="n">
        <f aca="false">IF(B261="",0,IF(Calcolo!$B$7="SI",MAX(0,C261),C261))</f>
        <v>2700</v>
      </c>
    </row>
    <row r="262" customFormat="false" ht="15" hidden="false" customHeight="false" outlineLevel="0" collapsed="false">
      <c r="A262" s="15" t="n">
        <v>261</v>
      </c>
      <c r="B262" s="16" t="n">
        <f aca="false">IF(YEAR(DATE(Calcolo!$B$4,1,1)+260)=Calcolo!$B$4,DATE(Calcolo!$B$4,1,1)+260,"")</f>
        <v>45918</v>
      </c>
      <c r="C262" s="17" t="n">
        <f aca="false">IF(B262="","",Calcolo!$B$5+SUMIFS(Calcolo!$C$16:$C$515,Calcolo!$A$16:$A$515,"&gt;="&amp;DATE(Calcolo!$B$4,1,1),Calcolo!$A$16:$A$515,"&lt;="&amp;B262))</f>
        <v>2700</v>
      </c>
      <c r="D262" s="17" t="n">
        <f aca="false">IF(B262="",0,IF(Calcolo!$B$7="SI",MAX(0,C262),C262))</f>
        <v>2700</v>
      </c>
    </row>
    <row r="263" customFormat="false" ht="15" hidden="false" customHeight="false" outlineLevel="0" collapsed="false">
      <c r="A263" s="15" t="n">
        <v>262</v>
      </c>
      <c r="B263" s="16" t="n">
        <f aca="false">IF(YEAR(DATE(Calcolo!$B$4,1,1)+261)=Calcolo!$B$4,DATE(Calcolo!$B$4,1,1)+261,"")</f>
        <v>45919</v>
      </c>
      <c r="C263" s="17" t="n">
        <f aca="false">IF(B263="","",Calcolo!$B$5+SUMIFS(Calcolo!$C$16:$C$515,Calcolo!$A$16:$A$515,"&gt;="&amp;DATE(Calcolo!$B$4,1,1),Calcolo!$A$16:$A$515,"&lt;="&amp;B263))</f>
        <v>2700</v>
      </c>
      <c r="D263" s="17" t="n">
        <f aca="false">IF(B263="",0,IF(Calcolo!$B$7="SI",MAX(0,C263),C263))</f>
        <v>2700</v>
      </c>
    </row>
    <row r="264" customFormat="false" ht="15" hidden="false" customHeight="false" outlineLevel="0" collapsed="false">
      <c r="A264" s="15" t="n">
        <v>263</v>
      </c>
      <c r="B264" s="16" t="n">
        <f aca="false">IF(YEAR(DATE(Calcolo!$B$4,1,1)+262)=Calcolo!$B$4,DATE(Calcolo!$B$4,1,1)+262,"")</f>
        <v>45920</v>
      </c>
      <c r="C264" s="17" t="n">
        <f aca="false">IF(B264="","",Calcolo!$B$5+SUMIFS(Calcolo!$C$16:$C$515,Calcolo!$A$16:$A$515,"&gt;="&amp;DATE(Calcolo!$B$4,1,1),Calcolo!$A$16:$A$515,"&lt;="&amp;B264))</f>
        <v>2700</v>
      </c>
      <c r="D264" s="17" t="n">
        <f aca="false">IF(B264="",0,IF(Calcolo!$B$7="SI",MAX(0,C264),C264))</f>
        <v>2700</v>
      </c>
    </row>
    <row r="265" customFormat="false" ht="15" hidden="false" customHeight="false" outlineLevel="0" collapsed="false">
      <c r="A265" s="15" t="n">
        <v>264</v>
      </c>
      <c r="B265" s="16" t="n">
        <f aca="false">IF(YEAR(DATE(Calcolo!$B$4,1,1)+263)=Calcolo!$B$4,DATE(Calcolo!$B$4,1,1)+263,"")</f>
        <v>45921</v>
      </c>
      <c r="C265" s="17" t="n">
        <f aca="false">IF(B265="","",Calcolo!$B$5+SUMIFS(Calcolo!$C$16:$C$515,Calcolo!$A$16:$A$515,"&gt;="&amp;DATE(Calcolo!$B$4,1,1),Calcolo!$A$16:$A$515,"&lt;="&amp;B265))</f>
        <v>2700</v>
      </c>
      <c r="D265" s="17" t="n">
        <f aca="false">IF(B265="",0,IF(Calcolo!$B$7="SI",MAX(0,C265),C265))</f>
        <v>2700</v>
      </c>
    </row>
    <row r="266" customFormat="false" ht="15" hidden="false" customHeight="false" outlineLevel="0" collapsed="false">
      <c r="A266" s="15" t="n">
        <v>265</v>
      </c>
      <c r="B266" s="16" t="n">
        <f aca="false">IF(YEAR(DATE(Calcolo!$B$4,1,1)+264)=Calcolo!$B$4,DATE(Calcolo!$B$4,1,1)+264,"")</f>
        <v>45922</v>
      </c>
      <c r="C266" s="17" t="n">
        <f aca="false">IF(B266="","",Calcolo!$B$5+SUMIFS(Calcolo!$C$16:$C$515,Calcolo!$A$16:$A$515,"&gt;="&amp;DATE(Calcolo!$B$4,1,1),Calcolo!$A$16:$A$515,"&lt;="&amp;B266))</f>
        <v>2700</v>
      </c>
      <c r="D266" s="17" t="n">
        <f aca="false">IF(B266="",0,IF(Calcolo!$B$7="SI",MAX(0,C266),C266))</f>
        <v>2700</v>
      </c>
    </row>
    <row r="267" customFormat="false" ht="15" hidden="false" customHeight="false" outlineLevel="0" collapsed="false">
      <c r="A267" s="15" t="n">
        <v>266</v>
      </c>
      <c r="B267" s="16" t="n">
        <f aca="false">IF(YEAR(DATE(Calcolo!$B$4,1,1)+265)=Calcolo!$B$4,DATE(Calcolo!$B$4,1,1)+265,"")</f>
        <v>45923</v>
      </c>
      <c r="C267" s="17" t="n">
        <f aca="false">IF(B267="","",Calcolo!$B$5+SUMIFS(Calcolo!$C$16:$C$515,Calcolo!$A$16:$A$515,"&gt;="&amp;DATE(Calcolo!$B$4,1,1),Calcolo!$A$16:$A$515,"&lt;="&amp;B267))</f>
        <v>2700</v>
      </c>
      <c r="D267" s="17" t="n">
        <f aca="false">IF(B267="",0,IF(Calcolo!$B$7="SI",MAX(0,C267),C267))</f>
        <v>2700</v>
      </c>
    </row>
    <row r="268" customFormat="false" ht="15" hidden="false" customHeight="false" outlineLevel="0" collapsed="false">
      <c r="A268" s="15" t="n">
        <v>267</v>
      </c>
      <c r="B268" s="16" t="n">
        <f aca="false">IF(YEAR(DATE(Calcolo!$B$4,1,1)+266)=Calcolo!$B$4,DATE(Calcolo!$B$4,1,1)+266,"")</f>
        <v>45924</v>
      </c>
      <c r="C268" s="17" t="n">
        <f aca="false">IF(B268="","",Calcolo!$B$5+SUMIFS(Calcolo!$C$16:$C$515,Calcolo!$A$16:$A$515,"&gt;="&amp;DATE(Calcolo!$B$4,1,1),Calcolo!$A$16:$A$515,"&lt;="&amp;B268))</f>
        <v>2700</v>
      </c>
      <c r="D268" s="17" t="n">
        <f aca="false">IF(B268="",0,IF(Calcolo!$B$7="SI",MAX(0,C268),C268))</f>
        <v>2700</v>
      </c>
    </row>
    <row r="269" customFormat="false" ht="15" hidden="false" customHeight="false" outlineLevel="0" collapsed="false">
      <c r="A269" s="15" t="n">
        <v>268</v>
      </c>
      <c r="B269" s="16" t="n">
        <f aca="false">IF(YEAR(DATE(Calcolo!$B$4,1,1)+267)=Calcolo!$B$4,DATE(Calcolo!$B$4,1,1)+267,"")</f>
        <v>45925</v>
      </c>
      <c r="C269" s="17" t="n">
        <f aca="false">IF(B269="","",Calcolo!$B$5+SUMIFS(Calcolo!$C$16:$C$515,Calcolo!$A$16:$A$515,"&gt;="&amp;DATE(Calcolo!$B$4,1,1),Calcolo!$A$16:$A$515,"&lt;="&amp;B269))</f>
        <v>2700</v>
      </c>
      <c r="D269" s="17" t="n">
        <f aca="false">IF(B269="",0,IF(Calcolo!$B$7="SI",MAX(0,C269),C269))</f>
        <v>2700</v>
      </c>
    </row>
    <row r="270" customFormat="false" ht="15" hidden="false" customHeight="false" outlineLevel="0" collapsed="false">
      <c r="A270" s="15" t="n">
        <v>269</v>
      </c>
      <c r="B270" s="16" t="n">
        <f aca="false">IF(YEAR(DATE(Calcolo!$B$4,1,1)+268)=Calcolo!$B$4,DATE(Calcolo!$B$4,1,1)+268,"")</f>
        <v>45926</v>
      </c>
      <c r="C270" s="17" t="n">
        <f aca="false">IF(B270="","",Calcolo!$B$5+SUMIFS(Calcolo!$C$16:$C$515,Calcolo!$A$16:$A$515,"&gt;="&amp;DATE(Calcolo!$B$4,1,1),Calcolo!$A$16:$A$515,"&lt;="&amp;B270))</f>
        <v>2700</v>
      </c>
      <c r="D270" s="17" t="n">
        <f aca="false">IF(B270="",0,IF(Calcolo!$B$7="SI",MAX(0,C270),C270))</f>
        <v>2700</v>
      </c>
    </row>
    <row r="271" customFormat="false" ht="15" hidden="false" customHeight="false" outlineLevel="0" collapsed="false">
      <c r="A271" s="15" t="n">
        <v>270</v>
      </c>
      <c r="B271" s="16" t="n">
        <f aca="false">IF(YEAR(DATE(Calcolo!$B$4,1,1)+269)=Calcolo!$B$4,DATE(Calcolo!$B$4,1,1)+269,"")</f>
        <v>45927</v>
      </c>
      <c r="C271" s="17" t="n">
        <f aca="false">IF(B271="","",Calcolo!$B$5+SUMIFS(Calcolo!$C$16:$C$515,Calcolo!$A$16:$A$515,"&gt;="&amp;DATE(Calcolo!$B$4,1,1),Calcolo!$A$16:$A$515,"&lt;="&amp;B271))</f>
        <v>2700</v>
      </c>
      <c r="D271" s="17" t="n">
        <f aca="false">IF(B271="",0,IF(Calcolo!$B$7="SI",MAX(0,C271),C271))</f>
        <v>2700</v>
      </c>
    </row>
    <row r="272" customFormat="false" ht="15" hidden="false" customHeight="false" outlineLevel="0" collapsed="false">
      <c r="A272" s="15" t="n">
        <v>271</v>
      </c>
      <c r="B272" s="16" t="n">
        <f aca="false">IF(YEAR(DATE(Calcolo!$B$4,1,1)+270)=Calcolo!$B$4,DATE(Calcolo!$B$4,1,1)+270,"")</f>
        <v>45928</v>
      </c>
      <c r="C272" s="17" t="n">
        <f aca="false">IF(B272="","",Calcolo!$B$5+SUMIFS(Calcolo!$C$16:$C$515,Calcolo!$A$16:$A$515,"&gt;="&amp;DATE(Calcolo!$B$4,1,1),Calcolo!$A$16:$A$515,"&lt;="&amp;B272))</f>
        <v>2700</v>
      </c>
      <c r="D272" s="17" t="n">
        <f aca="false">IF(B272="",0,IF(Calcolo!$B$7="SI",MAX(0,C272),C272))</f>
        <v>2700</v>
      </c>
    </row>
    <row r="273" customFormat="false" ht="15" hidden="false" customHeight="false" outlineLevel="0" collapsed="false">
      <c r="A273" s="15" t="n">
        <v>272</v>
      </c>
      <c r="B273" s="16" t="n">
        <f aca="false">IF(YEAR(DATE(Calcolo!$B$4,1,1)+271)=Calcolo!$B$4,DATE(Calcolo!$B$4,1,1)+271,"")</f>
        <v>45929</v>
      </c>
      <c r="C273" s="17" t="n">
        <f aca="false">IF(B273="","",Calcolo!$B$5+SUMIFS(Calcolo!$C$16:$C$515,Calcolo!$A$16:$A$515,"&gt;="&amp;DATE(Calcolo!$B$4,1,1),Calcolo!$A$16:$A$515,"&lt;="&amp;B273))</f>
        <v>2700</v>
      </c>
      <c r="D273" s="17" t="n">
        <f aca="false">IF(B273="",0,IF(Calcolo!$B$7="SI",MAX(0,C273),C273))</f>
        <v>2700</v>
      </c>
    </row>
    <row r="274" customFormat="false" ht="15" hidden="false" customHeight="false" outlineLevel="0" collapsed="false">
      <c r="A274" s="15" t="n">
        <v>273</v>
      </c>
      <c r="B274" s="16" t="n">
        <f aca="false">IF(YEAR(DATE(Calcolo!$B$4,1,1)+272)=Calcolo!$B$4,DATE(Calcolo!$B$4,1,1)+272,"")</f>
        <v>45930</v>
      </c>
      <c r="C274" s="17" t="n">
        <f aca="false">IF(B274="","",Calcolo!$B$5+SUMIFS(Calcolo!$C$16:$C$515,Calcolo!$A$16:$A$515,"&gt;="&amp;DATE(Calcolo!$B$4,1,1),Calcolo!$A$16:$A$515,"&lt;="&amp;B274))</f>
        <v>2700</v>
      </c>
      <c r="D274" s="17" t="n">
        <f aca="false">IF(B274="",0,IF(Calcolo!$B$7="SI",MAX(0,C274),C274))</f>
        <v>2700</v>
      </c>
    </row>
    <row r="275" customFormat="false" ht="15" hidden="false" customHeight="false" outlineLevel="0" collapsed="false">
      <c r="A275" s="15" t="n">
        <v>274</v>
      </c>
      <c r="B275" s="16" t="n">
        <f aca="false">IF(YEAR(DATE(Calcolo!$B$4,1,1)+273)=Calcolo!$B$4,DATE(Calcolo!$B$4,1,1)+273,"")</f>
        <v>45931</v>
      </c>
      <c r="C275" s="17" t="n">
        <f aca="false">IF(B275="","",Calcolo!$B$5+SUMIFS(Calcolo!$C$16:$C$515,Calcolo!$A$16:$A$515,"&gt;="&amp;DATE(Calcolo!$B$4,1,1),Calcolo!$A$16:$A$515,"&lt;="&amp;B275))</f>
        <v>2700</v>
      </c>
      <c r="D275" s="17" t="n">
        <f aca="false">IF(B275="",0,IF(Calcolo!$B$7="SI",MAX(0,C275),C275))</f>
        <v>2700</v>
      </c>
    </row>
    <row r="276" customFormat="false" ht="15" hidden="false" customHeight="false" outlineLevel="0" collapsed="false">
      <c r="A276" s="15" t="n">
        <v>275</v>
      </c>
      <c r="B276" s="16" t="n">
        <f aca="false">IF(YEAR(DATE(Calcolo!$B$4,1,1)+274)=Calcolo!$B$4,DATE(Calcolo!$B$4,1,1)+274,"")</f>
        <v>45932</v>
      </c>
      <c r="C276" s="17" t="n">
        <f aca="false">IF(B276="","",Calcolo!$B$5+SUMIFS(Calcolo!$C$16:$C$515,Calcolo!$A$16:$A$515,"&gt;="&amp;DATE(Calcolo!$B$4,1,1),Calcolo!$A$16:$A$515,"&lt;="&amp;B276))</f>
        <v>2700</v>
      </c>
      <c r="D276" s="17" t="n">
        <f aca="false">IF(B276="",0,IF(Calcolo!$B$7="SI",MAX(0,C276),C276))</f>
        <v>2700</v>
      </c>
    </row>
    <row r="277" customFormat="false" ht="15" hidden="false" customHeight="false" outlineLevel="0" collapsed="false">
      <c r="A277" s="15" t="n">
        <v>276</v>
      </c>
      <c r="B277" s="16" t="n">
        <f aca="false">IF(YEAR(DATE(Calcolo!$B$4,1,1)+275)=Calcolo!$B$4,DATE(Calcolo!$B$4,1,1)+275,"")</f>
        <v>45933</v>
      </c>
      <c r="C277" s="17" t="n">
        <f aca="false">IF(B277="","",Calcolo!$B$5+SUMIFS(Calcolo!$C$16:$C$515,Calcolo!$A$16:$A$515,"&gt;="&amp;DATE(Calcolo!$B$4,1,1),Calcolo!$A$16:$A$515,"&lt;="&amp;B277))</f>
        <v>2700</v>
      </c>
      <c r="D277" s="17" t="n">
        <f aca="false">IF(B277="",0,IF(Calcolo!$B$7="SI",MAX(0,C277),C277))</f>
        <v>2700</v>
      </c>
    </row>
    <row r="278" customFormat="false" ht="15" hidden="false" customHeight="false" outlineLevel="0" collapsed="false">
      <c r="A278" s="15" t="n">
        <v>277</v>
      </c>
      <c r="B278" s="16" t="n">
        <f aca="false">IF(YEAR(DATE(Calcolo!$B$4,1,1)+276)=Calcolo!$B$4,DATE(Calcolo!$B$4,1,1)+276,"")</f>
        <v>45934</v>
      </c>
      <c r="C278" s="17" t="n">
        <f aca="false">IF(B278="","",Calcolo!$B$5+SUMIFS(Calcolo!$C$16:$C$515,Calcolo!$A$16:$A$515,"&gt;="&amp;DATE(Calcolo!$B$4,1,1),Calcolo!$A$16:$A$515,"&lt;="&amp;B278))</f>
        <v>2700</v>
      </c>
      <c r="D278" s="17" t="n">
        <f aca="false">IF(B278="",0,IF(Calcolo!$B$7="SI",MAX(0,C278),C278))</f>
        <v>2700</v>
      </c>
    </row>
    <row r="279" customFormat="false" ht="15" hidden="false" customHeight="false" outlineLevel="0" collapsed="false">
      <c r="A279" s="15" t="n">
        <v>278</v>
      </c>
      <c r="B279" s="16" t="n">
        <f aca="false">IF(YEAR(DATE(Calcolo!$B$4,1,1)+277)=Calcolo!$B$4,DATE(Calcolo!$B$4,1,1)+277,"")</f>
        <v>45935</v>
      </c>
      <c r="C279" s="17" t="n">
        <f aca="false">IF(B279="","",Calcolo!$B$5+SUMIFS(Calcolo!$C$16:$C$515,Calcolo!$A$16:$A$515,"&gt;="&amp;DATE(Calcolo!$B$4,1,1),Calcolo!$A$16:$A$515,"&lt;="&amp;B279))</f>
        <v>2700</v>
      </c>
      <c r="D279" s="17" t="n">
        <f aca="false">IF(B279="",0,IF(Calcolo!$B$7="SI",MAX(0,C279),C279))</f>
        <v>2700</v>
      </c>
    </row>
    <row r="280" customFormat="false" ht="15" hidden="false" customHeight="false" outlineLevel="0" collapsed="false">
      <c r="A280" s="15" t="n">
        <v>279</v>
      </c>
      <c r="B280" s="16" t="n">
        <f aca="false">IF(YEAR(DATE(Calcolo!$B$4,1,1)+278)=Calcolo!$B$4,DATE(Calcolo!$B$4,1,1)+278,"")</f>
        <v>45936</v>
      </c>
      <c r="C280" s="17" t="n">
        <f aca="false">IF(B280="","",Calcolo!$B$5+SUMIFS(Calcolo!$C$16:$C$515,Calcolo!$A$16:$A$515,"&gt;="&amp;DATE(Calcolo!$B$4,1,1),Calcolo!$A$16:$A$515,"&lt;="&amp;B280))</f>
        <v>2700</v>
      </c>
      <c r="D280" s="17" t="n">
        <f aca="false">IF(B280="",0,IF(Calcolo!$B$7="SI",MAX(0,C280),C280))</f>
        <v>2700</v>
      </c>
    </row>
    <row r="281" customFormat="false" ht="15" hidden="false" customHeight="false" outlineLevel="0" collapsed="false">
      <c r="A281" s="15" t="n">
        <v>280</v>
      </c>
      <c r="B281" s="16" t="n">
        <f aca="false">IF(YEAR(DATE(Calcolo!$B$4,1,1)+279)=Calcolo!$B$4,DATE(Calcolo!$B$4,1,1)+279,"")</f>
        <v>45937</v>
      </c>
      <c r="C281" s="17" t="n">
        <f aca="false">IF(B281="","",Calcolo!$B$5+SUMIFS(Calcolo!$C$16:$C$515,Calcolo!$A$16:$A$515,"&gt;="&amp;DATE(Calcolo!$B$4,1,1),Calcolo!$A$16:$A$515,"&lt;="&amp;B281))</f>
        <v>2700</v>
      </c>
      <c r="D281" s="17" t="n">
        <f aca="false">IF(B281="",0,IF(Calcolo!$B$7="SI",MAX(0,C281),C281))</f>
        <v>2700</v>
      </c>
    </row>
    <row r="282" customFormat="false" ht="15" hidden="false" customHeight="false" outlineLevel="0" collapsed="false">
      <c r="A282" s="15" t="n">
        <v>281</v>
      </c>
      <c r="B282" s="16" t="n">
        <f aca="false">IF(YEAR(DATE(Calcolo!$B$4,1,1)+280)=Calcolo!$B$4,DATE(Calcolo!$B$4,1,1)+280,"")</f>
        <v>45938</v>
      </c>
      <c r="C282" s="17" t="n">
        <f aca="false">IF(B282="","",Calcolo!$B$5+SUMIFS(Calcolo!$C$16:$C$515,Calcolo!$A$16:$A$515,"&gt;="&amp;DATE(Calcolo!$B$4,1,1),Calcolo!$A$16:$A$515,"&lt;="&amp;B282))</f>
        <v>2700</v>
      </c>
      <c r="D282" s="17" t="n">
        <f aca="false">IF(B282="",0,IF(Calcolo!$B$7="SI",MAX(0,C282),C282))</f>
        <v>2700</v>
      </c>
    </row>
    <row r="283" customFormat="false" ht="15" hidden="false" customHeight="false" outlineLevel="0" collapsed="false">
      <c r="A283" s="15" t="n">
        <v>282</v>
      </c>
      <c r="B283" s="16" t="n">
        <f aca="false">IF(YEAR(DATE(Calcolo!$B$4,1,1)+281)=Calcolo!$B$4,DATE(Calcolo!$B$4,1,1)+281,"")</f>
        <v>45939</v>
      </c>
      <c r="C283" s="17" t="n">
        <f aca="false">IF(B283="","",Calcolo!$B$5+SUMIFS(Calcolo!$C$16:$C$515,Calcolo!$A$16:$A$515,"&gt;="&amp;DATE(Calcolo!$B$4,1,1),Calcolo!$A$16:$A$515,"&lt;="&amp;B283))</f>
        <v>2700</v>
      </c>
      <c r="D283" s="17" t="n">
        <f aca="false">IF(B283="",0,IF(Calcolo!$B$7="SI",MAX(0,C283),C283))</f>
        <v>2700</v>
      </c>
    </row>
    <row r="284" customFormat="false" ht="15" hidden="false" customHeight="false" outlineLevel="0" collapsed="false">
      <c r="A284" s="15" t="n">
        <v>283</v>
      </c>
      <c r="B284" s="16" t="n">
        <f aca="false">IF(YEAR(DATE(Calcolo!$B$4,1,1)+282)=Calcolo!$B$4,DATE(Calcolo!$B$4,1,1)+282,"")</f>
        <v>45940</v>
      </c>
      <c r="C284" s="17" t="n">
        <f aca="false">IF(B284="","",Calcolo!$B$5+SUMIFS(Calcolo!$C$16:$C$515,Calcolo!$A$16:$A$515,"&gt;="&amp;DATE(Calcolo!$B$4,1,1),Calcolo!$A$16:$A$515,"&lt;="&amp;B284))</f>
        <v>2700</v>
      </c>
      <c r="D284" s="17" t="n">
        <f aca="false">IF(B284="",0,IF(Calcolo!$B$7="SI",MAX(0,C284),C284))</f>
        <v>2700</v>
      </c>
    </row>
    <row r="285" customFormat="false" ht="15" hidden="false" customHeight="false" outlineLevel="0" collapsed="false">
      <c r="A285" s="15" t="n">
        <v>284</v>
      </c>
      <c r="B285" s="16" t="n">
        <f aca="false">IF(YEAR(DATE(Calcolo!$B$4,1,1)+283)=Calcolo!$B$4,DATE(Calcolo!$B$4,1,1)+283,"")</f>
        <v>45941</v>
      </c>
      <c r="C285" s="17" t="n">
        <f aca="false">IF(B285="","",Calcolo!$B$5+SUMIFS(Calcolo!$C$16:$C$515,Calcolo!$A$16:$A$515,"&gt;="&amp;DATE(Calcolo!$B$4,1,1),Calcolo!$A$16:$A$515,"&lt;="&amp;B285))</f>
        <v>2700</v>
      </c>
      <c r="D285" s="17" t="n">
        <f aca="false">IF(B285="",0,IF(Calcolo!$B$7="SI",MAX(0,C285),C285))</f>
        <v>2700</v>
      </c>
    </row>
    <row r="286" customFormat="false" ht="15" hidden="false" customHeight="false" outlineLevel="0" collapsed="false">
      <c r="A286" s="15" t="n">
        <v>285</v>
      </c>
      <c r="B286" s="16" t="n">
        <f aca="false">IF(YEAR(DATE(Calcolo!$B$4,1,1)+284)=Calcolo!$B$4,DATE(Calcolo!$B$4,1,1)+284,"")</f>
        <v>45942</v>
      </c>
      <c r="C286" s="17" t="n">
        <f aca="false">IF(B286="","",Calcolo!$B$5+SUMIFS(Calcolo!$C$16:$C$515,Calcolo!$A$16:$A$515,"&gt;="&amp;DATE(Calcolo!$B$4,1,1),Calcolo!$A$16:$A$515,"&lt;="&amp;B286))</f>
        <v>2700</v>
      </c>
      <c r="D286" s="17" t="n">
        <f aca="false">IF(B286="",0,IF(Calcolo!$B$7="SI",MAX(0,C286),C286))</f>
        <v>2700</v>
      </c>
    </row>
    <row r="287" customFormat="false" ht="15" hidden="false" customHeight="false" outlineLevel="0" collapsed="false">
      <c r="A287" s="15" t="n">
        <v>286</v>
      </c>
      <c r="B287" s="16" t="n">
        <f aca="false">IF(YEAR(DATE(Calcolo!$B$4,1,1)+285)=Calcolo!$B$4,DATE(Calcolo!$B$4,1,1)+285,"")</f>
        <v>45943</v>
      </c>
      <c r="C287" s="17" t="n">
        <f aca="false">IF(B287="","",Calcolo!$B$5+SUMIFS(Calcolo!$C$16:$C$515,Calcolo!$A$16:$A$515,"&gt;="&amp;DATE(Calcolo!$B$4,1,1),Calcolo!$A$16:$A$515,"&lt;="&amp;B287))</f>
        <v>2700</v>
      </c>
      <c r="D287" s="17" t="n">
        <f aca="false">IF(B287="",0,IF(Calcolo!$B$7="SI",MAX(0,C287),C287))</f>
        <v>2700</v>
      </c>
    </row>
    <row r="288" customFormat="false" ht="15" hidden="false" customHeight="false" outlineLevel="0" collapsed="false">
      <c r="A288" s="15" t="n">
        <v>287</v>
      </c>
      <c r="B288" s="16" t="n">
        <f aca="false">IF(YEAR(DATE(Calcolo!$B$4,1,1)+286)=Calcolo!$B$4,DATE(Calcolo!$B$4,1,1)+286,"")</f>
        <v>45944</v>
      </c>
      <c r="C288" s="17" t="n">
        <f aca="false">IF(B288="","",Calcolo!$B$5+SUMIFS(Calcolo!$C$16:$C$515,Calcolo!$A$16:$A$515,"&gt;="&amp;DATE(Calcolo!$B$4,1,1),Calcolo!$A$16:$A$515,"&lt;="&amp;B288))</f>
        <v>2700</v>
      </c>
      <c r="D288" s="17" t="n">
        <f aca="false">IF(B288="",0,IF(Calcolo!$B$7="SI",MAX(0,C288),C288))</f>
        <v>2700</v>
      </c>
    </row>
    <row r="289" customFormat="false" ht="15" hidden="false" customHeight="false" outlineLevel="0" collapsed="false">
      <c r="A289" s="15" t="n">
        <v>288</v>
      </c>
      <c r="B289" s="16" t="n">
        <f aca="false">IF(YEAR(DATE(Calcolo!$B$4,1,1)+287)=Calcolo!$B$4,DATE(Calcolo!$B$4,1,1)+287,"")</f>
        <v>45945</v>
      </c>
      <c r="C289" s="17" t="n">
        <f aca="false">IF(B289="","",Calcolo!$B$5+SUMIFS(Calcolo!$C$16:$C$515,Calcolo!$A$16:$A$515,"&gt;="&amp;DATE(Calcolo!$B$4,1,1),Calcolo!$A$16:$A$515,"&lt;="&amp;B289))</f>
        <v>2700</v>
      </c>
      <c r="D289" s="17" t="n">
        <f aca="false">IF(B289="",0,IF(Calcolo!$B$7="SI",MAX(0,C289),C289))</f>
        <v>2700</v>
      </c>
    </row>
    <row r="290" customFormat="false" ht="15" hidden="false" customHeight="false" outlineLevel="0" collapsed="false">
      <c r="A290" s="15" t="n">
        <v>289</v>
      </c>
      <c r="B290" s="16" t="n">
        <f aca="false">IF(YEAR(DATE(Calcolo!$B$4,1,1)+288)=Calcolo!$B$4,DATE(Calcolo!$B$4,1,1)+288,"")</f>
        <v>45946</v>
      </c>
      <c r="C290" s="17" t="n">
        <f aca="false">IF(B290="","",Calcolo!$B$5+SUMIFS(Calcolo!$C$16:$C$515,Calcolo!$A$16:$A$515,"&gt;="&amp;DATE(Calcolo!$B$4,1,1),Calcolo!$A$16:$A$515,"&lt;="&amp;B290))</f>
        <v>2700</v>
      </c>
      <c r="D290" s="17" t="n">
        <f aca="false">IF(B290="",0,IF(Calcolo!$B$7="SI",MAX(0,C290),C290))</f>
        <v>2700</v>
      </c>
    </row>
    <row r="291" customFormat="false" ht="15" hidden="false" customHeight="false" outlineLevel="0" collapsed="false">
      <c r="A291" s="15" t="n">
        <v>290</v>
      </c>
      <c r="B291" s="16" t="n">
        <f aca="false">IF(YEAR(DATE(Calcolo!$B$4,1,1)+289)=Calcolo!$B$4,DATE(Calcolo!$B$4,1,1)+289,"")</f>
        <v>45947</v>
      </c>
      <c r="C291" s="17" t="n">
        <f aca="false">IF(B291="","",Calcolo!$B$5+SUMIFS(Calcolo!$C$16:$C$515,Calcolo!$A$16:$A$515,"&gt;="&amp;DATE(Calcolo!$B$4,1,1),Calcolo!$A$16:$A$515,"&lt;="&amp;B291))</f>
        <v>2700</v>
      </c>
      <c r="D291" s="17" t="n">
        <f aca="false">IF(B291="",0,IF(Calcolo!$B$7="SI",MAX(0,C291),C291))</f>
        <v>2700</v>
      </c>
    </row>
    <row r="292" customFormat="false" ht="15" hidden="false" customHeight="false" outlineLevel="0" collapsed="false">
      <c r="A292" s="15" t="n">
        <v>291</v>
      </c>
      <c r="B292" s="16" t="n">
        <f aca="false">IF(YEAR(DATE(Calcolo!$B$4,1,1)+290)=Calcolo!$B$4,DATE(Calcolo!$B$4,1,1)+290,"")</f>
        <v>45948</v>
      </c>
      <c r="C292" s="17" t="n">
        <f aca="false">IF(B292="","",Calcolo!$B$5+SUMIFS(Calcolo!$C$16:$C$515,Calcolo!$A$16:$A$515,"&gt;="&amp;DATE(Calcolo!$B$4,1,1),Calcolo!$A$16:$A$515,"&lt;="&amp;B292))</f>
        <v>2700</v>
      </c>
      <c r="D292" s="17" t="n">
        <f aca="false">IF(B292="",0,IF(Calcolo!$B$7="SI",MAX(0,C292),C292))</f>
        <v>2700</v>
      </c>
    </row>
    <row r="293" customFormat="false" ht="15" hidden="false" customHeight="false" outlineLevel="0" collapsed="false">
      <c r="A293" s="15" t="n">
        <v>292</v>
      </c>
      <c r="B293" s="16" t="n">
        <f aca="false">IF(YEAR(DATE(Calcolo!$B$4,1,1)+291)=Calcolo!$B$4,DATE(Calcolo!$B$4,1,1)+291,"")</f>
        <v>45949</v>
      </c>
      <c r="C293" s="17" t="n">
        <f aca="false">IF(B293="","",Calcolo!$B$5+SUMIFS(Calcolo!$C$16:$C$515,Calcolo!$A$16:$A$515,"&gt;="&amp;DATE(Calcolo!$B$4,1,1),Calcolo!$A$16:$A$515,"&lt;="&amp;B293))</f>
        <v>2700</v>
      </c>
      <c r="D293" s="17" t="n">
        <f aca="false">IF(B293="",0,IF(Calcolo!$B$7="SI",MAX(0,C293),C293))</f>
        <v>2700</v>
      </c>
    </row>
    <row r="294" customFormat="false" ht="15" hidden="false" customHeight="false" outlineLevel="0" collapsed="false">
      <c r="A294" s="15" t="n">
        <v>293</v>
      </c>
      <c r="B294" s="16" t="n">
        <f aca="false">IF(YEAR(DATE(Calcolo!$B$4,1,1)+292)=Calcolo!$B$4,DATE(Calcolo!$B$4,1,1)+292,"")</f>
        <v>45950</v>
      </c>
      <c r="C294" s="17" t="n">
        <f aca="false">IF(B294="","",Calcolo!$B$5+SUMIFS(Calcolo!$C$16:$C$515,Calcolo!$A$16:$A$515,"&gt;="&amp;DATE(Calcolo!$B$4,1,1),Calcolo!$A$16:$A$515,"&lt;="&amp;B294))</f>
        <v>2700</v>
      </c>
      <c r="D294" s="17" t="n">
        <f aca="false">IF(B294="",0,IF(Calcolo!$B$7="SI",MAX(0,C294),C294))</f>
        <v>2700</v>
      </c>
    </row>
    <row r="295" customFormat="false" ht="15" hidden="false" customHeight="false" outlineLevel="0" collapsed="false">
      <c r="A295" s="15" t="n">
        <v>294</v>
      </c>
      <c r="B295" s="16" t="n">
        <f aca="false">IF(YEAR(DATE(Calcolo!$B$4,1,1)+293)=Calcolo!$B$4,DATE(Calcolo!$B$4,1,1)+293,"")</f>
        <v>45951</v>
      </c>
      <c r="C295" s="17" t="n">
        <f aca="false">IF(B295="","",Calcolo!$B$5+SUMIFS(Calcolo!$C$16:$C$515,Calcolo!$A$16:$A$515,"&gt;="&amp;DATE(Calcolo!$B$4,1,1),Calcolo!$A$16:$A$515,"&lt;="&amp;B295))</f>
        <v>2700</v>
      </c>
      <c r="D295" s="17" t="n">
        <f aca="false">IF(B295="",0,IF(Calcolo!$B$7="SI",MAX(0,C295),C295))</f>
        <v>2700</v>
      </c>
    </row>
    <row r="296" customFormat="false" ht="15" hidden="false" customHeight="false" outlineLevel="0" collapsed="false">
      <c r="A296" s="15" t="n">
        <v>295</v>
      </c>
      <c r="B296" s="16" t="n">
        <f aca="false">IF(YEAR(DATE(Calcolo!$B$4,1,1)+294)=Calcolo!$B$4,DATE(Calcolo!$B$4,1,1)+294,"")</f>
        <v>45952</v>
      </c>
      <c r="C296" s="17" t="n">
        <f aca="false">IF(B296="","",Calcolo!$B$5+SUMIFS(Calcolo!$C$16:$C$515,Calcolo!$A$16:$A$515,"&gt;="&amp;DATE(Calcolo!$B$4,1,1),Calcolo!$A$16:$A$515,"&lt;="&amp;B296))</f>
        <v>2700</v>
      </c>
      <c r="D296" s="17" t="n">
        <f aca="false">IF(B296="",0,IF(Calcolo!$B$7="SI",MAX(0,C296),C296))</f>
        <v>2700</v>
      </c>
    </row>
    <row r="297" customFormat="false" ht="15" hidden="false" customHeight="false" outlineLevel="0" collapsed="false">
      <c r="A297" s="15" t="n">
        <v>296</v>
      </c>
      <c r="B297" s="16" t="n">
        <f aca="false">IF(YEAR(DATE(Calcolo!$B$4,1,1)+295)=Calcolo!$B$4,DATE(Calcolo!$B$4,1,1)+295,"")</f>
        <v>45953</v>
      </c>
      <c r="C297" s="17" t="n">
        <f aca="false">IF(B297="","",Calcolo!$B$5+SUMIFS(Calcolo!$C$16:$C$515,Calcolo!$A$16:$A$515,"&gt;="&amp;DATE(Calcolo!$B$4,1,1),Calcolo!$A$16:$A$515,"&lt;="&amp;B297))</f>
        <v>2700</v>
      </c>
      <c r="D297" s="17" t="n">
        <f aca="false">IF(B297="",0,IF(Calcolo!$B$7="SI",MAX(0,C297),C297))</f>
        <v>2700</v>
      </c>
    </row>
    <row r="298" customFormat="false" ht="15" hidden="false" customHeight="false" outlineLevel="0" collapsed="false">
      <c r="A298" s="15" t="n">
        <v>297</v>
      </c>
      <c r="B298" s="16" t="n">
        <f aca="false">IF(YEAR(DATE(Calcolo!$B$4,1,1)+296)=Calcolo!$B$4,DATE(Calcolo!$B$4,1,1)+296,"")</f>
        <v>45954</v>
      </c>
      <c r="C298" s="17" t="n">
        <f aca="false">IF(B298="","",Calcolo!$B$5+SUMIFS(Calcolo!$C$16:$C$515,Calcolo!$A$16:$A$515,"&gt;="&amp;DATE(Calcolo!$B$4,1,1),Calcolo!$A$16:$A$515,"&lt;="&amp;B298))</f>
        <v>2700</v>
      </c>
      <c r="D298" s="17" t="n">
        <f aca="false">IF(B298="",0,IF(Calcolo!$B$7="SI",MAX(0,C298),C298))</f>
        <v>2700</v>
      </c>
    </row>
    <row r="299" customFormat="false" ht="15" hidden="false" customHeight="false" outlineLevel="0" collapsed="false">
      <c r="A299" s="15" t="n">
        <v>298</v>
      </c>
      <c r="B299" s="16" t="n">
        <f aca="false">IF(YEAR(DATE(Calcolo!$B$4,1,1)+297)=Calcolo!$B$4,DATE(Calcolo!$B$4,1,1)+297,"")</f>
        <v>45955</v>
      </c>
      <c r="C299" s="17" t="n">
        <f aca="false">IF(B299="","",Calcolo!$B$5+SUMIFS(Calcolo!$C$16:$C$515,Calcolo!$A$16:$A$515,"&gt;="&amp;DATE(Calcolo!$B$4,1,1),Calcolo!$A$16:$A$515,"&lt;="&amp;B299))</f>
        <v>2700</v>
      </c>
      <c r="D299" s="17" t="n">
        <f aca="false">IF(B299="",0,IF(Calcolo!$B$7="SI",MAX(0,C299),C299))</f>
        <v>2700</v>
      </c>
    </row>
    <row r="300" customFormat="false" ht="15" hidden="false" customHeight="false" outlineLevel="0" collapsed="false">
      <c r="A300" s="15" t="n">
        <v>299</v>
      </c>
      <c r="B300" s="16" t="n">
        <f aca="false">IF(YEAR(DATE(Calcolo!$B$4,1,1)+298)=Calcolo!$B$4,DATE(Calcolo!$B$4,1,1)+298,"")</f>
        <v>45956</v>
      </c>
      <c r="C300" s="17" t="n">
        <f aca="false">IF(B300="","",Calcolo!$B$5+SUMIFS(Calcolo!$C$16:$C$515,Calcolo!$A$16:$A$515,"&gt;="&amp;DATE(Calcolo!$B$4,1,1),Calcolo!$A$16:$A$515,"&lt;="&amp;B300))</f>
        <v>2700</v>
      </c>
      <c r="D300" s="17" t="n">
        <f aca="false">IF(B300="",0,IF(Calcolo!$B$7="SI",MAX(0,C300),C300))</f>
        <v>2700</v>
      </c>
    </row>
    <row r="301" customFormat="false" ht="15" hidden="false" customHeight="false" outlineLevel="0" collapsed="false">
      <c r="A301" s="15" t="n">
        <v>300</v>
      </c>
      <c r="B301" s="16" t="n">
        <f aca="false">IF(YEAR(DATE(Calcolo!$B$4,1,1)+299)=Calcolo!$B$4,DATE(Calcolo!$B$4,1,1)+299,"")</f>
        <v>45957</v>
      </c>
      <c r="C301" s="17" t="n">
        <f aca="false">IF(B301="","",Calcolo!$B$5+SUMIFS(Calcolo!$C$16:$C$515,Calcolo!$A$16:$A$515,"&gt;="&amp;DATE(Calcolo!$B$4,1,1),Calcolo!$A$16:$A$515,"&lt;="&amp;B301))</f>
        <v>2700</v>
      </c>
      <c r="D301" s="17" t="n">
        <f aca="false">IF(B301="",0,IF(Calcolo!$B$7="SI",MAX(0,C301),C301))</f>
        <v>2700</v>
      </c>
    </row>
    <row r="302" customFormat="false" ht="15" hidden="false" customHeight="false" outlineLevel="0" collapsed="false">
      <c r="A302" s="15" t="n">
        <v>301</v>
      </c>
      <c r="B302" s="16" t="n">
        <f aca="false">IF(YEAR(DATE(Calcolo!$B$4,1,1)+300)=Calcolo!$B$4,DATE(Calcolo!$B$4,1,1)+300,"")</f>
        <v>45958</v>
      </c>
      <c r="C302" s="17" t="n">
        <f aca="false">IF(B302="","",Calcolo!$B$5+SUMIFS(Calcolo!$C$16:$C$515,Calcolo!$A$16:$A$515,"&gt;="&amp;DATE(Calcolo!$B$4,1,1),Calcolo!$A$16:$A$515,"&lt;="&amp;B302))</f>
        <v>2700</v>
      </c>
      <c r="D302" s="17" t="n">
        <f aca="false">IF(B302="",0,IF(Calcolo!$B$7="SI",MAX(0,C302),C302))</f>
        <v>2700</v>
      </c>
    </row>
    <row r="303" customFormat="false" ht="15" hidden="false" customHeight="false" outlineLevel="0" collapsed="false">
      <c r="A303" s="15" t="n">
        <v>302</v>
      </c>
      <c r="B303" s="16" t="n">
        <f aca="false">IF(YEAR(DATE(Calcolo!$B$4,1,1)+301)=Calcolo!$B$4,DATE(Calcolo!$B$4,1,1)+301,"")</f>
        <v>45959</v>
      </c>
      <c r="C303" s="17" t="n">
        <f aca="false">IF(B303="","",Calcolo!$B$5+SUMIFS(Calcolo!$C$16:$C$515,Calcolo!$A$16:$A$515,"&gt;="&amp;DATE(Calcolo!$B$4,1,1),Calcolo!$A$16:$A$515,"&lt;="&amp;B303))</f>
        <v>2700</v>
      </c>
      <c r="D303" s="17" t="n">
        <f aca="false">IF(B303="",0,IF(Calcolo!$B$7="SI",MAX(0,C303),C303))</f>
        <v>2700</v>
      </c>
    </row>
    <row r="304" customFormat="false" ht="15" hidden="false" customHeight="false" outlineLevel="0" collapsed="false">
      <c r="A304" s="15" t="n">
        <v>303</v>
      </c>
      <c r="B304" s="16" t="n">
        <f aca="false">IF(YEAR(DATE(Calcolo!$B$4,1,1)+302)=Calcolo!$B$4,DATE(Calcolo!$B$4,1,1)+302,"")</f>
        <v>45960</v>
      </c>
      <c r="C304" s="17" t="n">
        <f aca="false">IF(B304="","",Calcolo!$B$5+SUMIFS(Calcolo!$C$16:$C$515,Calcolo!$A$16:$A$515,"&gt;="&amp;DATE(Calcolo!$B$4,1,1),Calcolo!$A$16:$A$515,"&lt;="&amp;B304))</f>
        <v>2700</v>
      </c>
      <c r="D304" s="17" t="n">
        <f aca="false">IF(B304="",0,IF(Calcolo!$B$7="SI",MAX(0,C304),C304))</f>
        <v>2700</v>
      </c>
    </row>
    <row r="305" customFormat="false" ht="15" hidden="false" customHeight="false" outlineLevel="0" collapsed="false">
      <c r="A305" s="15" t="n">
        <v>304</v>
      </c>
      <c r="B305" s="16" t="n">
        <f aca="false">IF(YEAR(DATE(Calcolo!$B$4,1,1)+303)=Calcolo!$B$4,DATE(Calcolo!$B$4,1,1)+303,"")</f>
        <v>45961</v>
      </c>
      <c r="C305" s="17" t="n">
        <f aca="false">IF(B305="","",Calcolo!$B$5+SUMIFS(Calcolo!$C$16:$C$515,Calcolo!$A$16:$A$515,"&gt;="&amp;DATE(Calcolo!$B$4,1,1),Calcolo!$A$16:$A$515,"&lt;="&amp;B305))</f>
        <v>2700</v>
      </c>
      <c r="D305" s="17" t="n">
        <f aca="false">IF(B305="",0,IF(Calcolo!$B$7="SI",MAX(0,C305),C305))</f>
        <v>2700</v>
      </c>
    </row>
    <row r="306" customFormat="false" ht="15" hidden="false" customHeight="false" outlineLevel="0" collapsed="false">
      <c r="A306" s="15" t="n">
        <v>305</v>
      </c>
      <c r="B306" s="16" t="n">
        <f aca="false">IF(YEAR(DATE(Calcolo!$B$4,1,1)+304)=Calcolo!$B$4,DATE(Calcolo!$B$4,1,1)+304,"")</f>
        <v>45962</v>
      </c>
      <c r="C306" s="17" t="n">
        <f aca="false">IF(B306="","",Calcolo!$B$5+SUMIFS(Calcolo!$C$16:$C$515,Calcolo!$A$16:$A$515,"&gt;="&amp;DATE(Calcolo!$B$4,1,1),Calcolo!$A$16:$A$515,"&lt;="&amp;B306))</f>
        <v>2700</v>
      </c>
      <c r="D306" s="17" t="n">
        <f aca="false">IF(B306="",0,IF(Calcolo!$B$7="SI",MAX(0,C306),C306))</f>
        <v>2700</v>
      </c>
    </row>
    <row r="307" customFormat="false" ht="15" hidden="false" customHeight="false" outlineLevel="0" collapsed="false">
      <c r="A307" s="15" t="n">
        <v>306</v>
      </c>
      <c r="B307" s="16" t="n">
        <f aca="false">IF(YEAR(DATE(Calcolo!$B$4,1,1)+305)=Calcolo!$B$4,DATE(Calcolo!$B$4,1,1)+305,"")</f>
        <v>45963</v>
      </c>
      <c r="C307" s="17" t="n">
        <f aca="false">IF(B307="","",Calcolo!$B$5+SUMIFS(Calcolo!$C$16:$C$515,Calcolo!$A$16:$A$515,"&gt;="&amp;DATE(Calcolo!$B$4,1,1),Calcolo!$A$16:$A$515,"&lt;="&amp;B307))</f>
        <v>2700</v>
      </c>
      <c r="D307" s="17" t="n">
        <f aca="false">IF(B307="",0,IF(Calcolo!$B$7="SI",MAX(0,C307),C307))</f>
        <v>2700</v>
      </c>
    </row>
    <row r="308" customFormat="false" ht="15" hidden="false" customHeight="false" outlineLevel="0" collapsed="false">
      <c r="A308" s="15" t="n">
        <v>307</v>
      </c>
      <c r="B308" s="16" t="n">
        <f aca="false">IF(YEAR(DATE(Calcolo!$B$4,1,1)+306)=Calcolo!$B$4,DATE(Calcolo!$B$4,1,1)+306,"")</f>
        <v>45964</v>
      </c>
      <c r="C308" s="17" t="n">
        <f aca="false">IF(B308="","",Calcolo!$B$5+SUMIFS(Calcolo!$C$16:$C$515,Calcolo!$A$16:$A$515,"&gt;="&amp;DATE(Calcolo!$B$4,1,1),Calcolo!$A$16:$A$515,"&lt;="&amp;B308))</f>
        <v>2700</v>
      </c>
      <c r="D308" s="17" t="n">
        <f aca="false">IF(B308="",0,IF(Calcolo!$B$7="SI",MAX(0,C308),C308))</f>
        <v>2700</v>
      </c>
    </row>
    <row r="309" customFormat="false" ht="15" hidden="false" customHeight="false" outlineLevel="0" collapsed="false">
      <c r="A309" s="15" t="n">
        <v>308</v>
      </c>
      <c r="B309" s="16" t="n">
        <f aca="false">IF(YEAR(DATE(Calcolo!$B$4,1,1)+307)=Calcolo!$B$4,DATE(Calcolo!$B$4,1,1)+307,"")</f>
        <v>45965</v>
      </c>
      <c r="C309" s="17" t="n">
        <f aca="false">IF(B309="","",Calcolo!$B$5+SUMIFS(Calcolo!$C$16:$C$515,Calcolo!$A$16:$A$515,"&gt;="&amp;DATE(Calcolo!$B$4,1,1),Calcolo!$A$16:$A$515,"&lt;="&amp;B309))</f>
        <v>2700</v>
      </c>
      <c r="D309" s="17" t="n">
        <f aca="false">IF(B309="",0,IF(Calcolo!$B$7="SI",MAX(0,C309),C309))</f>
        <v>2700</v>
      </c>
    </row>
    <row r="310" customFormat="false" ht="15" hidden="false" customHeight="false" outlineLevel="0" collapsed="false">
      <c r="A310" s="15" t="n">
        <v>309</v>
      </c>
      <c r="B310" s="16" t="n">
        <f aca="false">IF(YEAR(DATE(Calcolo!$B$4,1,1)+308)=Calcolo!$B$4,DATE(Calcolo!$B$4,1,1)+308,"")</f>
        <v>45966</v>
      </c>
      <c r="C310" s="17" t="n">
        <f aca="false">IF(B310="","",Calcolo!$B$5+SUMIFS(Calcolo!$C$16:$C$515,Calcolo!$A$16:$A$515,"&gt;="&amp;DATE(Calcolo!$B$4,1,1),Calcolo!$A$16:$A$515,"&lt;="&amp;B310))</f>
        <v>2700</v>
      </c>
      <c r="D310" s="17" t="n">
        <f aca="false">IF(B310="",0,IF(Calcolo!$B$7="SI",MAX(0,C310),C310))</f>
        <v>2700</v>
      </c>
    </row>
    <row r="311" customFormat="false" ht="15" hidden="false" customHeight="false" outlineLevel="0" collapsed="false">
      <c r="A311" s="15" t="n">
        <v>310</v>
      </c>
      <c r="B311" s="16" t="n">
        <f aca="false">IF(YEAR(DATE(Calcolo!$B$4,1,1)+309)=Calcolo!$B$4,DATE(Calcolo!$B$4,1,1)+309,"")</f>
        <v>45967</v>
      </c>
      <c r="C311" s="17" t="n">
        <f aca="false">IF(B311="","",Calcolo!$B$5+SUMIFS(Calcolo!$C$16:$C$515,Calcolo!$A$16:$A$515,"&gt;="&amp;DATE(Calcolo!$B$4,1,1),Calcolo!$A$16:$A$515,"&lt;="&amp;B311))</f>
        <v>2700</v>
      </c>
      <c r="D311" s="17" t="n">
        <f aca="false">IF(B311="",0,IF(Calcolo!$B$7="SI",MAX(0,C311),C311))</f>
        <v>2700</v>
      </c>
    </row>
    <row r="312" customFormat="false" ht="15" hidden="false" customHeight="false" outlineLevel="0" collapsed="false">
      <c r="A312" s="15" t="n">
        <v>311</v>
      </c>
      <c r="B312" s="16" t="n">
        <f aca="false">IF(YEAR(DATE(Calcolo!$B$4,1,1)+310)=Calcolo!$B$4,DATE(Calcolo!$B$4,1,1)+310,"")</f>
        <v>45968</v>
      </c>
      <c r="C312" s="17" t="n">
        <f aca="false">IF(B312="","",Calcolo!$B$5+SUMIFS(Calcolo!$C$16:$C$515,Calcolo!$A$16:$A$515,"&gt;="&amp;DATE(Calcolo!$B$4,1,1),Calcolo!$A$16:$A$515,"&lt;="&amp;B312))</f>
        <v>2700</v>
      </c>
      <c r="D312" s="17" t="n">
        <f aca="false">IF(B312="",0,IF(Calcolo!$B$7="SI",MAX(0,C312),C312))</f>
        <v>2700</v>
      </c>
    </row>
    <row r="313" customFormat="false" ht="15" hidden="false" customHeight="false" outlineLevel="0" collapsed="false">
      <c r="A313" s="15" t="n">
        <v>312</v>
      </c>
      <c r="B313" s="16" t="n">
        <f aca="false">IF(YEAR(DATE(Calcolo!$B$4,1,1)+311)=Calcolo!$B$4,DATE(Calcolo!$B$4,1,1)+311,"")</f>
        <v>45969</v>
      </c>
      <c r="C313" s="17" t="n">
        <f aca="false">IF(B313="","",Calcolo!$B$5+SUMIFS(Calcolo!$C$16:$C$515,Calcolo!$A$16:$A$515,"&gt;="&amp;DATE(Calcolo!$B$4,1,1),Calcolo!$A$16:$A$515,"&lt;="&amp;B313))</f>
        <v>2700</v>
      </c>
      <c r="D313" s="17" t="n">
        <f aca="false">IF(B313="",0,IF(Calcolo!$B$7="SI",MAX(0,C313),C313))</f>
        <v>2700</v>
      </c>
    </row>
    <row r="314" customFormat="false" ht="15" hidden="false" customHeight="false" outlineLevel="0" collapsed="false">
      <c r="A314" s="15" t="n">
        <v>313</v>
      </c>
      <c r="B314" s="16" t="n">
        <f aca="false">IF(YEAR(DATE(Calcolo!$B$4,1,1)+312)=Calcolo!$B$4,DATE(Calcolo!$B$4,1,1)+312,"")</f>
        <v>45970</v>
      </c>
      <c r="C314" s="17" t="n">
        <f aca="false">IF(B314="","",Calcolo!$B$5+SUMIFS(Calcolo!$C$16:$C$515,Calcolo!$A$16:$A$515,"&gt;="&amp;DATE(Calcolo!$B$4,1,1),Calcolo!$A$16:$A$515,"&lt;="&amp;B314))</f>
        <v>2700</v>
      </c>
      <c r="D314" s="17" t="n">
        <f aca="false">IF(B314="",0,IF(Calcolo!$B$7="SI",MAX(0,C314),C314))</f>
        <v>2700</v>
      </c>
    </row>
    <row r="315" customFormat="false" ht="15" hidden="false" customHeight="false" outlineLevel="0" collapsed="false">
      <c r="A315" s="15" t="n">
        <v>314</v>
      </c>
      <c r="B315" s="16" t="n">
        <f aca="false">IF(YEAR(DATE(Calcolo!$B$4,1,1)+313)=Calcolo!$B$4,DATE(Calcolo!$B$4,1,1)+313,"")</f>
        <v>45971</v>
      </c>
      <c r="C315" s="17" t="n">
        <f aca="false">IF(B315="","",Calcolo!$B$5+SUMIFS(Calcolo!$C$16:$C$515,Calcolo!$A$16:$A$515,"&gt;="&amp;DATE(Calcolo!$B$4,1,1),Calcolo!$A$16:$A$515,"&lt;="&amp;B315))</f>
        <v>2700</v>
      </c>
      <c r="D315" s="17" t="n">
        <f aca="false">IF(B315="",0,IF(Calcolo!$B$7="SI",MAX(0,C315),C315))</f>
        <v>2700</v>
      </c>
    </row>
    <row r="316" customFormat="false" ht="15" hidden="false" customHeight="false" outlineLevel="0" collapsed="false">
      <c r="A316" s="15" t="n">
        <v>315</v>
      </c>
      <c r="B316" s="16" t="n">
        <f aca="false">IF(YEAR(DATE(Calcolo!$B$4,1,1)+314)=Calcolo!$B$4,DATE(Calcolo!$B$4,1,1)+314,"")</f>
        <v>45972</v>
      </c>
      <c r="C316" s="17" t="n">
        <f aca="false">IF(B316="","",Calcolo!$B$5+SUMIFS(Calcolo!$C$16:$C$515,Calcolo!$A$16:$A$515,"&gt;="&amp;DATE(Calcolo!$B$4,1,1),Calcolo!$A$16:$A$515,"&lt;="&amp;B316))</f>
        <v>2700</v>
      </c>
      <c r="D316" s="17" t="n">
        <f aca="false">IF(B316="",0,IF(Calcolo!$B$7="SI",MAX(0,C316),C316))</f>
        <v>2700</v>
      </c>
    </row>
    <row r="317" customFormat="false" ht="15" hidden="false" customHeight="false" outlineLevel="0" collapsed="false">
      <c r="A317" s="15" t="n">
        <v>316</v>
      </c>
      <c r="B317" s="16" t="n">
        <f aca="false">IF(YEAR(DATE(Calcolo!$B$4,1,1)+315)=Calcolo!$B$4,DATE(Calcolo!$B$4,1,1)+315,"")</f>
        <v>45973</v>
      </c>
      <c r="C317" s="17" t="n">
        <f aca="false">IF(B317="","",Calcolo!$B$5+SUMIFS(Calcolo!$C$16:$C$515,Calcolo!$A$16:$A$515,"&gt;="&amp;DATE(Calcolo!$B$4,1,1),Calcolo!$A$16:$A$515,"&lt;="&amp;B317))</f>
        <v>2700</v>
      </c>
      <c r="D317" s="17" t="n">
        <f aca="false">IF(B317="",0,IF(Calcolo!$B$7="SI",MAX(0,C317),C317))</f>
        <v>2700</v>
      </c>
    </row>
    <row r="318" customFormat="false" ht="15" hidden="false" customHeight="false" outlineLevel="0" collapsed="false">
      <c r="A318" s="15" t="n">
        <v>317</v>
      </c>
      <c r="B318" s="16" t="n">
        <f aca="false">IF(YEAR(DATE(Calcolo!$B$4,1,1)+316)=Calcolo!$B$4,DATE(Calcolo!$B$4,1,1)+316,"")</f>
        <v>45974</v>
      </c>
      <c r="C318" s="17" t="n">
        <f aca="false">IF(B318="","",Calcolo!$B$5+SUMIFS(Calcolo!$C$16:$C$515,Calcolo!$A$16:$A$515,"&gt;="&amp;DATE(Calcolo!$B$4,1,1),Calcolo!$A$16:$A$515,"&lt;="&amp;B318))</f>
        <v>2700</v>
      </c>
      <c r="D318" s="17" t="n">
        <f aca="false">IF(B318="",0,IF(Calcolo!$B$7="SI",MAX(0,C318),C318))</f>
        <v>2700</v>
      </c>
    </row>
    <row r="319" customFormat="false" ht="15" hidden="false" customHeight="false" outlineLevel="0" collapsed="false">
      <c r="A319" s="15" t="n">
        <v>318</v>
      </c>
      <c r="B319" s="16" t="n">
        <f aca="false">IF(YEAR(DATE(Calcolo!$B$4,1,1)+317)=Calcolo!$B$4,DATE(Calcolo!$B$4,1,1)+317,"")</f>
        <v>45975</v>
      </c>
      <c r="C319" s="17" t="n">
        <f aca="false">IF(B319="","",Calcolo!$B$5+SUMIFS(Calcolo!$C$16:$C$515,Calcolo!$A$16:$A$515,"&gt;="&amp;DATE(Calcolo!$B$4,1,1),Calcolo!$A$16:$A$515,"&lt;="&amp;B319))</f>
        <v>2700</v>
      </c>
      <c r="D319" s="17" t="n">
        <f aca="false">IF(B319="",0,IF(Calcolo!$B$7="SI",MAX(0,C319),C319))</f>
        <v>2700</v>
      </c>
    </row>
    <row r="320" customFormat="false" ht="15" hidden="false" customHeight="false" outlineLevel="0" collapsed="false">
      <c r="A320" s="15" t="n">
        <v>319</v>
      </c>
      <c r="B320" s="16" t="n">
        <f aca="false">IF(YEAR(DATE(Calcolo!$B$4,1,1)+318)=Calcolo!$B$4,DATE(Calcolo!$B$4,1,1)+318,"")</f>
        <v>45976</v>
      </c>
      <c r="C320" s="17" t="n">
        <f aca="false">IF(B320="","",Calcolo!$B$5+SUMIFS(Calcolo!$C$16:$C$515,Calcolo!$A$16:$A$515,"&gt;="&amp;DATE(Calcolo!$B$4,1,1),Calcolo!$A$16:$A$515,"&lt;="&amp;B320))</f>
        <v>2700</v>
      </c>
      <c r="D320" s="17" t="n">
        <f aca="false">IF(B320="",0,IF(Calcolo!$B$7="SI",MAX(0,C320),C320))</f>
        <v>2700</v>
      </c>
    </row>
    <row r="321" customFormat="false" ht="15" hidden="false" customHeight="false" outlineLevel="0" collapsed="false">
      <c r="A321" s="15" t="n">
        <v>320</v>
      </c>
      <c r="B321" s="16" t="n">
        <f aca="false">IF(YEAR(DATE(Calcolo!$B$4,1,1)+319)=Calcolo!$B$4,DATE(Calcolo!$B$4,1,1)+319,"")</f>
        <v>45977</v>
      </c>
      <c r="C321" s="17" t="n">
        <f aca="false">IF(B321="","",Calcolo!$B$5+SUMIFS(Calcolo!$C$16:$C$515,Calcolo!$A$16:$A$515,"&gt;="&amp;DATE(Calcolo!$B$4,1,1),Calcolo!$A$16:$A$515,"&lt;="&amp;B321))</f>
        <v>2700</v>
      </c>
      <c r="D321" s="17" t="n">
        <f aca="false">IF(B321="",0,IF(Calcolo!$B$7="SI",MAX(0,C321),C321))</f>
        <v>2700</v>
      </c>
    </row>
    <row r="322" customFormat="false" ht="15" hidden="false" customHeight="false" outlineLevel="0" collapsed="false">
      <c r="A322" s="15" t="n">
        <v>321</v>
      </c>
      <c r="B322" s="16" t="n">
        <f aca="false">IF(YEAR(DATE(Calcolo!$B$4,1,1)+320)=Calcolo!$B$4,DATE(Calcolo!$B$4,1,1)+320,"")</f>
        <v>45978</v>
      </c>
      <c r="C322" s="17" t="n">
        <f aca="false">IF(B322="","",Calcolo!$B$5+SUMIFS(Calcolo!$C$16:$C$515,Calcolo!$A$16:$A$515,"&gt;="&amp;DATE(Calcolo!$B$4,1,1),Calcolo!$A$16:$A$515,"&lt;="&amp;B322))</f>
        <v>2700</v>
      </c>
      <c r="D322" s="17" t="n">
        <f aca="false">IF(B322="",0,IF(Calcolo!$B$7="SI",MAX(0,C322),C322))</f>
        <v>2700</v>
      </c>
    </row>
    <row r="323" customFormat="false" ht="15" hidden="false" customHeight="false" outlineLevel="0" collapsed="false">
      <c r="A323" s="15" t="n">
        <v>322</v>
      </c>
      <c r="B323" s="16" t="n">
        <f aca="false">IF(YEAR(DATE(Calcolo!$B$4,1,1)+321)=Calcolo!$B$4,DATE(Calcolo!$B$4,1,1)+321,"")</f>
        <v>45979</v>
      </c>
      <c r="C323" s="17" t="n">
        <f aca="false">IF(B323="","",Calcolo!$B$5+SUMIFS(Calcolo!$C$16:$C$515,Calcolo!$A$16:$A$515,"&gt;="&amp;DATE(Calcolo!$B$4,1,1),Calcolo!$A$16:$A$515,"&lt;="&amp;B323))</f>
        <v>2700</v>
      </c>
      <c r="D323" s="17" t="n">
        <f aca="false">IF(B323="",0,IF(Calcolo!$B$7="SI",MAX(0,C323),C323))</f>
        <v>2700</v>
      </c>
    </row>
    <row r="324" customFormat="false" ht="15" hidden="false" customHeight="false" outlineLevel="0" collapsed="false">
      <c r="A324" s="15" t="n">
        <v>323</v>
      </c>
      <c r="B324" s="16" t="n">
        <f aca="false">IF(YEAR(DATE(Calcolo!$B$4,1,1)+322)=Calcolo!$B$4,DATE(Calcolo!$B$4,1,1)+322,"")</f>
        <v>45980</v>
      </c>
      <c r="C324" s="17" t="n">
        <f aca="false">IF(B324="","",Calcolo!$B$5+SUMIFS(Calcolo!$C$16:$C$515,Calcolo!$A$16:$A$515,"&gt;="&amp;DATE(Calcolo!$B$4,1,1),Calcolo!$A$16:$A$515,"&lt;="&amp;B324))</f>
        <v>2700</v>
      </c>
      <c r="D324" s="17" t="n">
        <f aca="false">IF(B324="",0,IF(Calcolo!$B$7="SI",MAX(0,C324),C324))</f>
        <v>2700</v>
      </c>
    </row>
    <row r="325" customFormat="false" ht="15" hidden="false" customHeight="false" outlineLevel="0" collapsed="false">
      <c r="A325" s="15" t="n">
        <v>324</v>
      </c>
      <c r="B325" s="16" t="n">
        <f aca="false">IF(YEAR(DATE(Calcolo!$B$4,1,1)+323)=Calcolo!$B$4,DATE(Calcolo!$B$4,1,1)+323,"")</f>
        <v>45981</v>
      </c>
      <c r="C325" s="17" t="n">
        <f aca="false">IF(B325="","",Calcolo!$B$5+SUMIFS(Calcolo!$C$16:$C$515,Calcolo!$A$16:$A$515,"&gt;="&amp;DATE(Calcolo!$B$4,1,1),Calcolo!$A$16:$A$515,"&lt;="&amp;B325))</f>
        <v>2700</v>
      </c>
      <c r="D325" s="17" t="n">
        <f aca="false">IF(B325="",0,IF(Calcolo!$B$7="SI",MAX(0,C325),C325))</f>
        <v>2700</v>
      </c>
    </row>
    <row r="326" customFormat="false" ht="15" hidden="false" customHeight="false" outlineLevel="0" collapsed="false">
      <c r="A326" s="15" t="n">
        <v>325</v>
      </c>
      <c r="B326" s="16" t="n">
        <f aca="false">IF(YEAR(DATE(Calcolo!$B$4,1,1)+324)=Calcolo!$B$4,DATE(Calcolo!$B$4,1,1)+324,"")</f>
        <v>45982</v>
      </c>
      <c r="C326" s="17" t="n">
        <f aca="false">IF(B326="","",Calcolo!$B$5+SUMIFS(Calcolo!$C$16:$C$515,Calcolo!$A$16:$A$515,"&gt;="&amp;DATE(Calcolo!$B$4,1,1),Calcolo!$A$16:$A$515,"&lt;="&amp;B326))</f>
        <v>2700</v>
      </c>
      <c r="D326" s="17" t="n">
        <f aca="false">IF(B326="",0,IF(Calcolo!$B$7="SI",MAX(0,C326),C326))</f>
        <v>2700</v>
      </c>
    </row>
    <row r="327" customFormat="false" ht="15" hidden="false" customHeight="false" outlineLevel="0" collapsed="false">
      <c r="A327" s="15" t="n">
        <v>326</v>
      </c>
      <c r="B327" s="16" t="n">
        <f aca="false">IF(YEAR(DATE(Calcolo!$B$4,1,1)+325)=Calcolo!$B$4,DATE(Calcolo!$B$4,1,1)+325,"")</f>
        <v>45983</v>
      </c>
      <c r="C327" s="17" t="n">
        <f aca="false">IF(B327="","",Calcolo!$B$5+SUMIFS(Calcolo!$C$16:$C$515,Calcolo!$A$16:$A$515,"&gt;="&amp;DATE(Calcolo!$B$4,1,1),Calcolo!$A$16:$A$515,"&lt;="&amp;B327))</f>
        <v>2700</v>
      </c>
      <c r="D327" s="17" t="n">
        <f aca="false">IF(B327="",0,IF(Calcolo!$B$7="SI",MAX(0,C327),C327))</f>
        <v>2700</v>
      </c>
    </row>
    <row r="328" customFormat="false" ht="15" hidden="false" customHeight="false" outlineLevel="0" collapsed="false">
      <c r="A328" s="15" t="n">
        <v>327</v>
      </c>
      <c r="B328" s="16" t="n">
        <f aca="false">IF(YEAR(DATE(Calcolo!$B$4,1,1)+326)=Calcolo!$B$4,DATE(Calcolo!$B$4,1,1)+326,"")</f>
        <v>45984</v>
      </c>
      <c r="C328" s="17" t="n">
        <f aca="false">IF(B328="","",Calcolo!$B$5+SUMIFS(Calcolo!$C$16:$C$515,Calcolo!$A$16:$A$515,"&gt;="&amp;DATE(Calcolo!$B$4,1,1),Calcolo!$A$16:$A$515,"&lt;="&amp;B328))</f>
        <v>2700</v>
      </c>
      <c r="D328" s="17" t="n">
        <f aca="false">IF(B328="",0,IF(Calcolo!$B$7="SI",MAX(0,C328),C328))</f>
        <v>2700</v>
      </c>
    </row>
    <row r="329" customFormat="false" ht="15" hidden="false" customHeight="false" outlineLevel="0" collapsed="false">
      <c r="A329" s="15" t="n">
        <v>328</v>
      </c>
      <c r="B329" s="16" t="n">
        <f aca="false">IF(YEAR(DATE(Calcolo!$B$4,1,1)+327)=Calcolo!$B$4,DATE(Calcolo!$B$4,1,1)+327,"")</f>
        <v>45985</v>
      </c>
      <c r="C329" s="17" t="n">
        <f aca="false">IF(B329="","",Calcolo!$B$5+SUMIFS(Calcolo!$C$16:$C$515,Calcolo!$A$16:$A$515,"&gt;="&amp;DATE(Calcolo!$B$4,1,1),Calcolo!$A$16:$A$515,"&lt;="&amp;B329))</f>
        <v>2700</v>
      </c>
      <c r="D329" s="17" t="n">
        <f aca="false">IF(B329="",0,IF(Calcolo!$B$7="SI",MAX(0,C329),C329))</f>
        <v>2700</v>
      </c>
    </row>
    <row r="330" customFormat="false" ht="15" hidden="false" customHeight="false" outlineLevel="0" collapsed="false">
      <c r="A330" s="15" t="n">
        <v>329</v>
      </c>
      <c r="B330" s="16" t="n">
        <f aca="false">IF(YEAR(DATE(Calcolo!$B$4,1,1)+328)=Calcolo!$B$4,DATE(Calcolo!$B$4,1,1)+328,"")</f>
        <v>45986</v>
      </c>
      <c r="C330" s="17" t="n">
        <f aca="false">IF(B330="","",Calcolo!$B$5+SUMIFS(Calcolo!$C$16:$C$515,Calcolo!$A$16:$A$515,"&gt;="&amp;DATE(Calcolo!$B$4,1,1),Calcolo!$A$16:$A$515,"&lt;="&amp;B330))</f>
        <v>2700</v>
      </c>
      <c r="D330" s="17" t="n">
        <f aca="false">IF(B330="",0,IF(Calcolo!$B$7="SI",MAX(0,C330),C330))</f>
        <v>2700</v>
      </c>
    </row>
    <row r="331" customFormat="false" ht="15" hidden="false" customHeight="false" outlineLevel="0" collapsed="false">
      <c r="A331" s="15" t="n">
        <v>330</v>
      </c>
      <c r="B331" s="16" t="n">
        <f aca="false">IF(YEAR(DATE(Calcolo!$B$4,1,1)+329)=Calcolo!$B$4,DATE(Calcolo!$B$4,1,1)+329,"")</f>
        <v>45987</v>
      </c>
      <c r="C331" s="17" t="n">
        <f aca="false">IF(B331="","",Calcolo!$B$5+SUMIFS(Calcolo!$C$16:$C$515,Calcolo!$A$16:$A$515,"&gt;="&amp;DATE(Calcolo!$B$4,1,1),Calcolo!$A$16:$A$515,"&lt;="&amp;B331))</f>
        <v>2700</v>
      </c>
      <c r="D331" s="17" t="n">
        <f aca="false">IF(B331="",0,IF(Calcolo!$B$7="SI",MAX(0,C331),C331))</f>
        <v>2700</v>
      </c>
    </row>
    <row r="332" customFormat="false" ht="15" hidden="false" customHeight="false" outlineLevel="0" collapsed="false">
      <c r="A332" s="15" t="n">
        <v>331</v>
      </c>
      <c r="B332" s="16" t="n">
        <f aca="false">IF(YEAR(DATE(Calcolo!$B$4,1,1)+330)=Calcolo!$B$4,DATE(Calcolo!$B$4,1,1)+330,"")</f>
        <v>45988</v>
      </c>
      <c r="C332" s="17" t="n">
        <f aca="false">IF(B332="","",Calcolo!$B$5+SUMIFS(Calcolo!$C$16:$C$515,Calcolo!$A$16:$A$515,"&gt;="&amp;DATE(Calcolo!$B$4,1,1),Calcolo!$A$16:$A$515,"&lt;="&amp;B332))</f>
        <v>2700</v>
      </c>
      <c r="D332" s="17" t="n">
        <f aca="false">IF(B332="",0,IF(Calcolo!$B$7="SI",MAX(0,C332),C332))</f>
        <v>2700</v>
      </c>
    </row>
    <row r="333" customFormat="false" ht="15" hidden="false" customHeight="false" outlineLevel="0" collapsed="false">
      <c r="A333" s="15" t="n">
        <v>332</v>
      </c>
      <c r="B333" s="16" t="n">
        <f aca="false">IF(YEAR(DATE(Calcolo!$B$4,1,1)+331)=Calcolo!$B$4,DATE(Calcolo!$B$4,1,1)+331,"")</f>
        <v>45989</v>
      </c>
      <c r="C333" s="17" t="n">
        <f aca="false">IF(B333="","",Calcolo!$B$5+SUMIFS(Calcolo!$C$16:$C$515,Calcolo!$A$16:$A$515,"&gt;="&amp;DATE(Calcolo!$B$4,1,1),Calcolo!$A$16:$A$515,"&lt;="&amp;B333))</f>
        <v>2700</v>
      </c>
      <c r="D333" s="17" t="n">
        <f aca="false">IF(B333="",0,IF(Calcolo!$B$7="SI",MAX(0,C333),C333))</f>
        <v>2700</v>
      </c>
    </row>
    <row r="334" customFormat="false" ht="15" hidden="false" customHeight="false" outlineLevel="0" collapsed="false">
      <c r="A334" s="15" t="n">
        <v>333</v>
      </c>
      <c r="B334" s="16" t="n">
        <f aca="false">IF(YEAR(DATE(Calcolo!$B$4,1,1)+332)=Calcolo!$B$4,DATE(Calcolo!$B$4,1,1)+332,"")</f>
        <v>45990</v>
      </c>
      <c r="C334" s="17" t="n">
        <f aca="false">IF(B334="","",Calcolo!$B$5+SUMIFS(Calcolo!$C$16:$C$515,Calcolo!$A$16:$A$515,"&gt;="&amp;DATE(Calcolo!$B$4,1,1),Calcolo!$A$16:$A$515,"&lt;="&amp;B334))</f>
        <v>2700</v>
      </c>
      <c r="D334" s="17" t="n">
        <f aca="false">IF(B334="",0,IF(Calcolo!$B$7="SI",MAX(0,C334),C334))</f>
        <v>2700</v>
      </c>
    </row>
    <row r="335" customFormat="false" ht="15" hidden="false" customHeight="false" outlineLevel="0" collapsed="false">
      <c r="A335" s="15" t="n">
        <v>334</v>
      </c>
      <c r="B335" s="16" t="n">
        <f aca="false">IF(YEAR(DATE(Calcolo!$B$4,1,1)+333)=Calcolo!$B$4,DATE(Calcolo!$B$4,1,1)+333,"")</f>
        <v>45991</v>
      </c>
      <c r="C335" s="17" t="n">
        <f aca="false">IF(B335="","",Calcolo!$B$5+SUMIFS(Calcolo!$C$16:$C$515,Calcolo!$A$16:$A$515,"&gt;="&amp;DATE(Calcolo!$B$4,1,1),Calcolo!$A$16:$A$515,"&lt;="&amp;B335))</f>
        <v>2700</v>
      </c>
      <c r="D335" s="17" t="n">
        <f aca="false">IF(B335="",0,IF(Calcolo!$B$7="SI",MAX(0,C335),C335))</f>
        <v>2700</v>
      </c>
    </row>
    <row r="336" customFormat="false" ht="15" hidden="false" customHeight="false" outlineLevel="0" collapsed="false">
      <c r="A336" s="15" t="n">
        <v>335</v>
      </c>
      <c r="B336" s="16" t="n">
        <f aca="false">IF(YEAR(DATE(Calcolo!$B$4,1,1)+334)=Calcolo!$B$4,DATE(Calcolo!$B$4,1,1)+334,"")</f>
        <v>45992</v>
      </c>
      <c r="C336" s="17" t="n">
        <f aca="false">IF(B336="","",Calcolo!$B$5+SUMIFS(Calcolo!$C$16:$C$515,Calcolo!$A$16:$A$515,"&gt;="&amp;DATE(Calcolo!$B$4,1,1),Calcolo!$A$16:$A$515,"&lt;="&amp;B336))</f>
        <v>2700</v>
      </c>
      <c r="D336" s="17" t="n">
        <f aca="false">IF(B336="",0,IF(Calcolo!$B$7="SI",MAX(0,C336),C336))</f>
        <v>2700</v>
      </c>
    </row>
    <row r="337" customFormat="false" ht="15" hidden="false" customHeight="false" outlineLevel="0" collapsed="false">
      <c r="A337" s="15" t="n">
        <v>336</v>
      </c>
      <c r="B337" s="16" t="n">
        <f aca="false">IF(YEAR(DATE(Calcolo!$B$4,1,1)+335)=Calcolo!$B$4,DATE(Calcolo!$B$4,1,1)+335,"")</f>
        <v>45993</v>
      </c>
      <c r="C337" s="17" t="n">
        <f aca="false">IF(B337="","",Calcolo!$B$5+SUMIFS(Calcolo!$C$16:$C$515,Calcolo!$A$16:$A$515,"&gt;="&amp;DATE(Calcolo!$B$4,1,1),Calcolo!$A$16:$A$515,"&lt;="&amp;B337))</f>
        <v>2700</v>
      </c>
      <c r="D337" s="17" t="n">
        <f aca="false">IF(B337="",0,IF(Calcolo!$B$7="SI",MAX(0,C337),C337))</f>
        <v>2700</v>
      </c>
    </row>
    <row r="338" customFormat="false" ht="15" hidden="false" customHeight="false" outlineLevel="0" collapsed="false">
      <c r="A338" s="15" t="n">
        <v>337</v>
      </c>
      <c r="B338" s="16" t="n">
        <f aca="false">IF(YEAR(DATE(Calcolo!$B$4,1,1)+336)=Calcolo!$B$4,DATE(Calcolo!$B$4,1,1)+336,"")</f>
        <v>45994</v>
      </c>
      <c r="C338" s="17" t="n">
        <f aca="false">IF(B338="","",Calcolo!$B$5+SUMIFS(Calcolo!$C$16:$C$515,Calcolo!$A$16:$A$515,"&gt;="&amp;DATE(Calcolo!$B$4,1,1),Calcolo!$A$16:$A$515,"&lt;="&amp;B338))</f>
        <v>2700</v>
      </c>
      <c r="D338" s="17" t="n">
        <f aca="false">IF(B338="",0,IF(Calcolo!$B$7="SI",MAX(0,C338),C338))</f>
        <v>2700</v>
      </c>
    </row>
    <row r="339" customFormat="false" ht="15" hidden="false" customHeight="false" outlineLevel="0" collapsed="false">
      <c r="A339" s="15" t="n">
        <v>338</v>
      </c>
      <c r="B339" s="16" t="n">
        <f aca="false">IF(YEAR(DATE(Calcolo!$B$4,1,1)+337)=Calcolo!$B$4,DATE(Calcolo!$B$4,1,1)+337,"")</f>
        <v>45995</v>
      </c>
      <c r="C339" s="17" t="n">
        <f aca="false">IF(B339="","",Calcolo!$B$5+SUMIFS(Calcolo!$C$16:$C$515,Calcolo!$A$16:$A$515,"&gt;="&amp;DATE(Calcolo!$B$4,1,1),Calcolo!$A$16:$A$515,"&lt;="&amp;B339))</f>
        <v>2700</v>
      </c>
      <c r="D339" s="17" t="n">
        <f aca="false">IF(B339="",0,IF(Calcolo!$B$7="SI",MAX(0,C339),C339))</f>
        <v>2700</v>
      </c>
    </row>
    <row r="340" customFormat="false" ht="15" hidden="false" customHeight="false" outlineLevel="0" collapsed="false">
      <c r="A340" s="15" t="n">
        <v>339</v>
      </c>
      <c r="B340" s="16" t="n">
        <f aca="false">IF(YEAR(DATE(Calcolo!$B$4,1,1)+338)=Calcolo!$B$4,DATE(Calcolo!$B$4,1,1)+338,"")</f>
        <v>45996</v>
      </c>
      <c r="C340" s="17" t="n">
        <f aca="false">IF(B340="","",Calcolo!$B$5+SUMIFS(Calcolo!$C$16:$C$515,Calcolo!$A$16:$A$515,"&gt;="&amp;DATE(Calcolo!$B$4,1,1),Calcolo!$A$16:$A$515,"&lt;="&amp;B340))</f>
        <v>2700</v>
      </c>
      <c r="D340" s="17" t="n">
        <f aca="false">IF(B340="",0,IF(Calcolo!$B$7="SI",MAX(0,C340),C340))</f>
        <v>2700</v>
      </c>
    </row>
    <row r="341" customFormat="false" ht="15" hidden="false" customHeight="false" outlineLevel="0" collapsed="false">
      <c r="A341" s="15" t="n">
        <v>340</v>
      </c>
      <c r="B341" s="16" t="n">
        <f aca="false">IF(YEAR(DATE(Calcolo!$B$4,1,1)+339)=Calcolo!$B$4,DATE(Calcolo!$B$4,1,1)+339,"")</f>
        <v>45997</v>
      </c>
      <c r="C341" s="17" t="n">
        <f aca="false">IF(B341="","",Calcolo!$B$5+SUMIFS(Calcolo!$C$16:$C$515,Calcolo!$A$16:$A$515,"&gt;="&amp;DATE(Calcolo!$B$4,1,1),Calcolo!$A$16:$A$515,"&lt;="&amp;B341))</f>
        <v>2700</v>
      </c>
      <c r="D341" s="17" t="n">
        <f aca="false">IF(B341="",0,IF(Calcolo!$B$7="SI",MAX(0,C341),C341))</f>
        <v>2700</v>
      </c>
    </row>
    <row r="342" customFormat="false" ht="15" hidden="false" customHeight="false" outlineLevel="0" collapsed="false">
      <c r="A342" s="15" t="n">
        <v>341</v>
      </c>
      <c r="B342" s="16" t="n">
        <f aca="false">IF(YEAR(DATE(Calcolo!$B$4,1,1)+340)=Calcolo!$B$4,DATE(Calcolo!$B$4,1,1)+340,"")</f>
        <v>45998</v>
      </c>
      <c r="C342" s="17" t="n">
        <f aca="false">IF(B342="","",Calcolo!$B$5+SUMIFS(Calcolo!$C$16:$C$515,Calcolo!$A$16:$A$515,"&gt;="&amp;DATE(Calcolo!$B$4,1,1),Calcolo!$A$16:$A$515,"&lt;="&amp;B342))</f>
        <v>2700</v>
      </c>
      <c r="D342" s="17" t="n">
        <f aca="false">IF(B342="",0,IF(Calcolo!$B$7="SI",MAX(0,C342),C342))</f>
        <v>2700</v>
      </c>
    </row>
    <row r="343" customFormat="false" ht="15" hidden="false" customHeight="false" outlineLevel="0" collapsed="false">
      <c r="A343" s="15" t="n">
        <v>342</v>
      </c>
      <c r="B343" s="16" t="n">
        <f aca="false">IF(YEAR(DATE(Calcolo!$B$4,1,1)+341)=Calcolo!$B$4,DATE(Calcolo!$B$4,1,1)+341,"")</f>
        <v>45999</v>
      </c>
      <c r="C343" s="17" t="n">
        <f aca="false">IF(B343="","",Calcolo!$B$5+SUMIFS(Calcolo!$C$16:$C$515,Calcolo!$A$16:$A$515,"&gt;="&amp;DATE(Calcolo!$B$4,1,1),Calcolo!$A$16:$A$515,"&lt;="&amp;B343))</f>
        <v>2700</v>
      </c>
      <c r="D343" s="17" t="n">
        <f aca="false">IF(B343="",0,IF(Calcolo!$B$7="SI",MAX(0,C343),C343))</f>
        <v>2700</v>
      </c>
    </row>
    <row r="344" customFormat="false" ht="15" hidden="false" customHeight="false" outlineLevel="0" collapsed="false">
      <c r="A344" s="15" t="n">
        <v>343</v>
      </c>
      <c r="B344" s="16" t="n">
        <f aca="false">IF(YEAR(DATE(Calcolo!$B$4,1,1)+342)=Calcolo!$B$4,DATE(Calcolo!$B$4,1,1)+342,"")</f>
        <v>46000</v>
      </c>
      <c r="C344" s="17" t="n">
        <f aca="false">IF(B344="","",Calcolo!$B$5+SUMIFS(Calcolo!$C$16:$C$515,Calcolo!$A$16:$A$515,"&gt;="&amp;DATE(Calcolo!$B$4,1,1),Calcolo!$A$16:$A$515,"&lt;="&amp;B344))</f>
        <v>2700</v>
      </c>
      <c r="D344" s="17" t="n">
        <f aca="false">IF(B344="",0,IF(Calcolo!$B$7="SI",MAX(0,C344),C344))</f>
        <v>2700</v>
      </c>
    </row>
    <row r="345" customFormat="false" ht="15" hidden="false" customHeight="false" outlineLevel="0" collapsed="false">
      <c r="A345" s="15" t="n">
        <v>344</v>
      </c>
      <c r="B345" s="16" t="n">
        <f aca="false">IF(YEAR(DATE(Calcolo!$B$4,1,1)+343)=Calcolo!$B$4,DATE(Calcolo!$B$4,1,1)+343,"")</f>
        <v>46001</v>
      </c>
      <c r="C345" s="17" t="n">
        <f aca="false">IF(B345="","",Calcolo!$B$5+SUMIFS(Calcolo!$C$16:$C$515,Calcolo!$A$16:$A$515,"&gt;="&amp;DATE(Calcolo!$B$4,1,1),Calcolo!$A$16:$A$515,"&lt;="&amp;B345))</f>
        <v>2700</v>
      </c>
      <c r="D345" s="17" t="n">
        <f aca="false">IF(B345="",0,IF(Calcolo!$B$7="SI",MAX(0,C345),C345))</f>
        <v>2700</v>
      </c>
    </row>
    <row r="346" customFormat="false" ht="15" hidden="false" customHeight="false" outlineLevel="0" collapsed="false">
      <c r="A346" s="15" t="n">
        <v>345</v>
      </c>
      <c r="B346" s="16" t="n">
        <f aca="false">IF(YEAR(DATE(Calcolo!$B$4,1,1)+344)=Calcolo!$B$4,DATE(Calcolo!$B$4,1,1)+344,"")</f>
        <v>46002</v>
      </c>
      <c r="C346" s="17" t="n">
        <f aca="false">IF(B346="","",Calcolo!$B$5+SUMIFS(Calcolo!$C$16:$C$515,Calcolo!$A$16:$A$515,"&gt;="&amp;DATE(Calcolo!$B$4,1,1),Calcolo!$A$16:$A$515,"&lt;="&amp;B346))</f>
        <v>2700</v>
      </c>
      <c r="D346" s="17" t="n">
        <f aca="false">IF(B346="",0,IF(Calcolo!$B$7="SI",MAX(0,C346),C346))</f>
        <v>2700</v>
      </c>
    </row>
    <row r="347" customFormat="false" ht="15" hidden="false" customHeight="false" outlineLevel="0" collapsed="false">
      <c r="A347" s="15" t="n">
        <v>346</v>
      </c>
      <c r="B347" s="16" t="n">
        <f aca="false">IF(YEAR(DATE(Calcolo!$B$4,1,1)+345)=Calcolo!$B$4,DATE(Calcolo!$B$4,1,1)+345,"")</f>
        <v>46003</v>
      </c>
      <c r="C347" s="17" t="n">
        <f aca="false">IF(B347="","",Calcolo!$B$5+SUMIFS(Calcolo!$C$16:$C$515,Calcolo!$A$16:$A$515,"&gt;="&amp;DATE(Calcolo!$B$4,1,1),Calcolo!$A$16:$A$515,"&lt;="&amp;B347))</f>
        <v>2700</v>
      </c>
      <c r="D347" s="17" t="n">
        <f aca="false">IF(B347="",0,IF(Calcolo!$B$7="SI",MAX(0,C347),C347))</f>
        <v>2700</v>
      </c>
    </row>
    <row r="348" customFormat="false" ht="15" hidden="false" customHeight="false" outlineLevel="0" collapsed="false">
      <c r="A348" s="15" t="n">
        <v>347</v>
      </c>
      <c r="B348" s="16" t="n">
        <f aca="false">IF(YEAR(DATE(Calcolo!$B$4,1,1)+346)=Calcolo!$B$4,DATE(Calcolo!$B$4,1,1)+346,"")</f>
        <v>46004</v>
      </c>
      <c r="C348" s="17" t="n">
        <f aca="false">IF(B348="","",Calcolo!$B$5+SUMIFS(Calcolo!$C$16:$C$515,Calcolo!$A$16:$A$515,"&gt;="&amp;DATE(Calcolo!$B$4,1,1),Calcolo!$A$16:$A$515,"&lt;="&amp;B348))</f>
        <v>2700</v>
      </c>
      <c r="D348" s="17" t="n">
        <f aca="false">IF(B348="",0,IF(Calcolo!$B$7="SI",MAX(0,C348),C348))</f>
        <v>2700</v>
      </c>
    </row>
    <row r="349" customFormat="false" ht="15" hidden="false" customHeight="false" outlineLevel="0" collapsed="false">
      <c r="A349" s="15" t="n">
        <v>348</v>
      </c>
      <c r="B349" s="16" t="n">
        <f aca="false">IF(YEAR(DATE(Calcolo!$B$4,1,1)+347)=Calcolo!$B$4,DATE(Calcolo!$B$4,1,1)+347,"")</f>
        <v>46005</v>
      </c>
      <c r="C349" s="17" t="n">
        <f aca="false">IF(B349="","",Calcolo!$B$5+SUMIFS(Calcolo!$C$16:$C$515,Calcolo!$A$16:$A$515,"&gt;="&amp;DATE(Calcolo!$B$4,1,1),Calcolo!$A$16:$A$515,"&lt;="&amp;B349))</f>
        <v>2700</v>
      </c>
      <c r="D349" s="17" t="n">
        <f aca="false">IF(B349="",0,IF(Calcolo!$B$7="SI",MAX(0,C349),C349))</f>
        <v>2700</v>
      </c>
    </row>
    <row r="350" customFormat="false" ht="15" hidden="false" customHeight="false" outlineLevel="0" collapsed="false">
      <c r="A350" s="15" t="n">
        <v>349</v>
      </c>
      <c r="B350" s="16" t="n">
        <f aca="false">IF(YEAR(DATE(Calcolo!$B$4,1,1)+348)=Calcolo!$B$4,DATE(Calcolo!$B$4,1,1)+348,"")</f>
        <v>46006</v>
      </c>
      <c r="C350" s="17" t="n">
        <f aca="false">IF(B350="","",Calcolo!$B$5+SUMIFS(Calcolo!$C$16:$C$515,Calcolo!$A$16:$A$515,"&gt;="&amp;DATE(Calcolo!$B$4,1,1),Calcolo!$A$16:$A$515,"&lt;="&amp;B350))</f>
        <v>2700</v>
      </c>
      <c r="D350" s="17" t="n">
        <f aca="false">IF(B350="",0,IF(Calcolo!$B$7="SI",MAX(0,C350),C350))</f>
        <v>2700</v>
      </c>
    </row>
    <row r="351" customFormat="false" ht="15" hidden="false" customHeight="false" outlineLevel="0" collapsed="false">
      <c r="A351" s="15" t="n">
        <v>350</v>
      </c>
      <c r="B351" s="16" t="n">
        <f aca="false">IF(YEAR(DATE(Calcolo!$B$4,1,1)+349)=Calcolo!$B$4,DATE(Calcolo!$B$4,1,1)+349,"")</f>
        <v>46007</v>
      </c>
      <c r="C351" s="17" t="n">
        <f aca="false">IF(B351="","",Calcolo!$B$5+SUMIFS(Calcolo!$C$16:$C$515,Calcolo!$A$16:$A$515,"&gt;="&amp;DATE(Calcolo!$B$4,1,1),Calcolo!$A$16:$A$515,"&lt;="&amp;B351))</f>
        <v>2700</v>
      </c>
      <c r="D351" s="17" t="n">
        <f aca="false">IF(B351="",0,IF(Calcolo!$B$7="SI",MAX(0,C351),C351))</f>
        <v>2700</v>
      </c>
    </row>
    <row r="352" customFormat="false" ht="15" hidden="false" customHeight="false" outlineLevel="0" collapsed="false">
      <c r="A352" s="15" t="n">
        <v>351</v>
      </c>
      <c r="B352" s="16" t="n">
        <f aca="false">IF(YEAR(DATE(Calcolo!$B$4,1,1)+350)=Calcolo!$B$4,DATE(Calcolo!$B$4,1,1)+350,"")</f>
        <v>46008</v>
      </c>
      <c r="C352" s="17" t="n">
        <f aca="false">IF(B352="","",Calcolo!$B$5+SUMIFS(Calcolo!$C$16:$C$515,Calcolo!$A$16:$A$515,"&gt;="&amp;DATE(Calcolo!$B$4,1,1),Calcolo!$A$16:$A$515,"&lt;="&amp;B352))</f>
        <v>2700</v>
      </c>
      <c r="D352" s="17" t="n">
        <f aca="false">IF(B352="",0,IF(Calcolo!$B$7="SI",MAX(0,C352),C352))</f>
        <v>2700</v>
      </c>
    </row>
    <row r="353" customFormat="false" ht="15" hidden="false" customHeight="false" outlineLevel="0" collapsed="false">
      <c r="A353" s="15" t="n">
        <v>352</v>
      </c>
      <c r="B353" s="16" t="n">
        <f aca="false">IF(YEAR(DATE(Calcolo!$B$4,1,1)+351)=Calcolo!$B$4,DATE(Calcolo!$B$4,1,1)+351,"")</f>
        <v>46009</v>
      </c>
      <c r="C353" s="17" t="n">
        <f aca="false">IF(B353="","",Calcolo!$B$5+SUMIFS(Calcolo!$C$16:$C$515,Calcolo!$A$16:$A$515,"&gt;="&amp;DATE(Calcolo!$B$4,1,1),Calcolo!$A$16:$A$515,"&lt;="&amp;B353))</f>
        <v>2700</v>
      </c>
      <c r="D353" s="17" t="n">
        <f aca="false">IF(B353="",0,IF(Calcolo!$B$7="SI",MAX(0,C353),C353))</f>
        <v>2700</v>
      </c>
    </row>
    <row r="354" customFormat="false" ht="15" hidden="false" customHeight="false" outlineLevel="0" collapsed="false">
      <c r="A354" s="15" t="n">
        <v>353</v>
      </c>
      <c r="B354" s="16" t="n">
        <f aca="false">IF(YEAR(DATE(Calcolo!$B$4,1,1)+352)=Calcolo!$B$4,DATE(Calcolo!$B$4,1,1)+352,"")</f>
        <v>46010</v>
      </c>
      <c r="C354" s="17" t="n">
        <f aca="false">IF(B354="","",Calcolo!$B$5+SUMIFS(Calcolo!$C$16:$C$515,Calcolo!$A$16:$A$515,"&gt;="&amp;DATE(Calcolo!$B$4,1,1),Calcolo!$A$16:$A$515,"&lt;="&amp;B354))</f>
        <v>2700</v>
      </c>
      <c r="D354" s="17" t="n">
        <f aca="false">IF(B354="",0,IF(Calcolo!$B$7="SI",MAX(0,C354),C354))</f>
        <v>2700</v>
      </c>
    </row>
    <row r="355" customFormat="false" ht="15" hidden="false" customHeight="false" outlineLevel="0" collapsed="false">
      <c r="A355" s="15" t="n">
        <v>354</v>
      </c>
      <c r="B355" s="16" t="n">
        <f aca="false">IF(YEAR(DATE(Calcolo!$B$4,1,1)+353)=Calcolo!$B$4,DATE(Calcolo!$B$4,1,1)+353,"")</f>
        <v>46011</v>
      </c>
      <c r="C355" s="17" t="n">
        <f aca="false">IF(B355="","",Calcolo!$B$5+SUMIFS(Calcolo!$C$16:$C$515,Calcolo!$A$16:$A$515,"&gt;="&amp;DATE(Calcolo!$B$4,1,1),Calcolo!$A$16:$A$515,"&lt;="&amp;B355))</f>
        <v>2700</v>
      </c>
      <c r="D355" s="17" t="n">
        <f aca="false">IF(B355="",0,IF(Calcolo!$B$7="SI",MAX(0,C355),C355))</f>
        <v>2700</v>
      </c>
    </row>
    <row r="356" customFormat="false" ht="15" hidden="false" customHeight="false" outlineLevel="0" collapsed="false">
      <c r="A356" s="15" t="n">
        <v>355</v>
      </c>
      <c r="B356" s="16" t="n">
        <f aca="false">IF(YEAR(DATE(Calcolo!$B$4,1,1)+354)=Calcolo!$B$4,DATE(Calcolo!$B$4,1,1)+354,"")</f>
        <v>46012</v>
      </c>
      <c r="C356" s="17" t="n">
        <f aca="false">IF(B356="","",Calcolo!$B$5+SUMIFS(Calcolo!$C$16:$C$515,Calcolo!$A$16:$A$515,"&gt;="&amp;DATE(Calcolo!$B$4,1,1),Calcolo!$A$16:$A$515,"&lt;="&amp;B356))</f>
        <v>2700</v>
      </c>
      <c r="D356" s="17" t="n">
        <f aca="false">IF(B356="",0,IF(Calcolo!$B$7="SI",MAX(0,C356),C356))</f>
        <v>2700</v>
      </c>
    </row>
    <row r="357" customFormat="false" ht="15" hidden="false" customHeight="false" outlineLevel="0" collapsed="false">
      <c r="A357" s="15" t="n">
        <v>356</v>
      </c>
      <c r="B357" s="16" t="n">
        <f aca="false">IF(YEAR(DATE(Calcolo!$B$4,1,1)+355)=Calcolo!$B$4,DATE(Calcolo!$B$4,1,1)+355,"")</f>
        <v>46013</v>
      </c>
      <c r="C357" s="17" t="n">
        <f aca="false">IF(B357="","",Calcolo!$B$5+SUMIFS(Calcolo!$C$16:$C$515,Calcolo!$A$16:$A$515,"&gt;="&amp;DATE(Calcolo!$B$4,1,1),Calcolo!$A$16:$A$515,"&lt;="&amp;B357))</f>
        <v>2700</v>
      </c>
      <c r="D357" s="17" t="n">
        <f aca="false">IF(B357="",0,IF(Calcolo!$B$7="SI",MAX(0,C357),C357))</f>
        <v>2700</v>
      </c>
    </row>
    <row r="358" customFormat="false" ht="15" hidden="false" customHeight="false" outlineLevel="0" collapsed="false">
      <c r="A358" s="15" t="n">
        <v>357</v>
      </c>
      <c r="B358" s="16" t="n">
        <f aca="false">IF(YEAR(DATE(Calcolo!$B$4,1,1)+356)=Calcolo!$B$4,DATE(Calcolo!$B$4,1,1)+356,"")</f>
        <v>46014</v>
      </c>
      <c r="C358" s="17" t="n">
        <f aca="false">IF(B358="","",Calcolo!$B$5+SUMIFS(Calcolo!$C$16:$C$515,Calcolo!$A$16:$A$515,"&gt;="&amp;DATE(Calcolo!$B$4,1,1),Calcolo!$A$16:$A$515,"&lt;="&amp;B358))</f>
        <v>2700</v>
      </c>
      <c r="D358" s="17" t="n">
        <f aca="false">IF(B358="",0,IF(Calcolo!$B$7="SI",MAX(0,C358),C358))</f>
        <v>2700</v>
      </c>
    </row>
    <row r="359" customFormat="false" ht="15" hidden="false" customHeight="false" outlineLevel="0" collapsed="false">
      <c r="A359" s="15" t="n">
        <v>358</v>
      </c>
      <c r="B359" s="16" t="n">
        <f aca="false">IF(YEAR(DATE(Calcolo!$B$4,1,1)+357)=Calcolo!$B$4,DATE(Calcolo!$B$4,1,1)+357,"")</f>
        <v>46015</v>
      </c>
      <c r="C359" s="17" t="n">
        <f aca="false">IF(B359="","",Calcolo!$B$5+SUMIFS(Calcolo!$C$16:$C$515,Calcolo!$A$16:$A$515,"&gt;="&amp;DATE(Calcolo!$B$4,1,1),Calcolo!$A$16:$A$515,"&lt;="&amp;B359))</f>
        <v>2700</v>
      </c>
      <c r="D359" s="17" t="n">
        <f aca="false">IF(B359="",0,IF(Calcolo!$B$7="SI",MAX(0,C359),C359))</f>
        <v>2700</v>
      </c>
    </row>
    <row r="360" customFormat="false" ht="15" hidden="false" customHeight="false" outlineLevel="0" collapsed="false">
      <c r="A360" s="15" t="n">
        <v>359</v>
      </c>
      <c r="B360" s="16" t="n">
        <f aca="false">IF(YEAR(DATE(Calcolo!$B$4,1,1)+358)=Calcolo!$B$4,DATE(Calcolo!$B$4,1,1)+358,"")</f>
        <v>46016</v>
      </c>
      <c r="C360" s="17" t="n">
        <f aca="false">IF(B360="","",Calcolo!$B$5+SUMIFS(Calcolo!$C$16:$C$515,Calcolo!$A$16:$A$515,"&gt;="&amp;DATE(Calcolo!$B$4,1,1),Calcolo!$A$16:$A$515,"&lt;="&amp;B360))</f>
        <v>2700</v>
      </c>
      <c r="D360" s="17" t="n">
        <f aca="false">IF(B360="",0,IF(Calcolo!$B$7="SI",MAX(0,C360),C360))</f>
        <v>2700</v>
      </c>
    </row>
    <row r="361" customFormat="false" ht="15" hidden="false" customHeight="false" outlineLevel="0" collapsed="false">
      <c r="A361" s="15" t="n">
        <v>360</v>
      </c>
      <c r="B361" s="16" t="n">
        <f aca="false">IF(YEAR(DATE(Calcolo!$B$4,1,1)+359)=Calcolo!$B$4,DATE(Calcolo!$B$4,1,1)+359,"")</f>
        <v>46017</v>
      </c>
      <c r="C361" s="17" t="n">
        <f aca="false">IF(B361="","",Calcolo!$B$5+SUMIFS(Calcolo!$C$16:$C$515,Calcolo!$A$16:$A$515,"&gt;="&amp;DATE(Calcolo!$B$4,1,1),Calcolo!$A$16:$A$515,"&lt;="&amp;B361))</f>
        <v>2700</v>
      </c>
      <c r="D361" s="17" t="n">
        <f aca="false">IF(B361="",0,IF(Calcolo!$B$7="SI",MAX(0,C361),C361))</f>
        <v>2700</v>
      </c>
    </row>
    <row r="362" customFormat="false" ht="15" hidden="false" customHeight="false" outlineLevel="0" collapsed="false">
      <c r="A362" s="15" t="n">
        <v>361</v>
      </c>
      <c r="B362" s="16" t="n">
        <f aca="false">IF(YEAR(DATE(Calcolo!$B$4,1,1)+360)=Calcolo!$B$4,DATE(Calcolo!$B$4,1,1)+360,"")</f>
        <v>46018</v>
      </c>
      <c r="C362" s="17" t="n">
        <f aca="false">IF(B362="","",Calcolo!$B$5+SUMIFS(Calcolo!$C$16:$C$515,Calcolo!$A$16:$A$515,"&gt;="&amp;DATE(Calcolo!$B$4,1,1),Calcolo!$A$16:$A$515,"&lt;="&amp;B362))</f>
        <v>2700</v>
      </c>
      <c r="D362" s="17" t="n">
        <f aca="false">IF(B362="",0,IF(Calcolo!$B$7="SI",MAX(0,C362),C362))</f>
        <v>2700</v>
      </c>
    </row>
    <row r="363" customFormat="false" ht="15" hidden="false" customHeight="false" outlineLevel="0" collapsed="false">
      <c r="A363" s="15" t="n">
        <v>362</v>
      </c>
      <c r="B363" s="16" t="n">
        <f aca="false">IF(YEAR(DATE(Calcolo!$B$4,1,1)+361)=Calcolo!$B$4,DATE(Calcolo!$B$4,1,1)+361,"")</f>
        <v>46019</v>
      </c>
      <c r="C363" s="17" t="n">
        <f aca="false">IF(B363="","",Calcolo!$B$5+SUMIFS(Calcolo!$C$16:$C$515,Calcolo!$A$16:$A$515,"&gt;="&amp;DATE(Calcolo!$B$4,1,1),Calcolo!$A$16:$A$515,"&lt;="&amp;B363))</f>
        <v>2700</v>
      </c>
      <c r="D363" s="17" t="n">
        <f aca="false">IF(B363="",0,IF(Calcolo!$B$7="SI",MAX(0,C363),C363))</f>
        <v>2700</v>
      </c>
    </row>
    <row r="364" customFormat="false" ht="15" hidden="false" customHeight="false" outlineLevel="0" collapsed="false">
      <c r="A364" s="15" t="n">
        <v>363</v>
      </c>
      <c r="B364" s="16" t="n">
        <f aca="false">IF(YEAR(DATE(Calcolo!$B$4,1,1)+362)=Calcolo!$B$4,DATE(Calcolo!$B$4,1,1)+362,"")</f>
        <v>46020</v>
      </c>
      <c r="C364" s="17" t="n">
        <f aca="false">IF(B364="","",Calcolo!$B$5+SUMIFS(Calcolo!$C$16:$C$515,Calcolo!$A$16:$A$515,"&gt;="&amp;DATE(Calcolo!$B$4,1,1),Calcolo!$A$16:$A$515,"&lt;="&amp;B364))</f>
        <v>2700</v>
      </c>
      <c r="D364" s="17" t="n">
        <f aca="false">IF(B364="",0,IF(Calcolo!$B$7="SI",MAX(0,C364),C364))</f>
        <v>2700</v>
      </c>
    </row>
    <row r="365" customFormat="false" ht="15" hidden="false" customHeight="false" outlineLevel="0" collapsed="false">
      <c r="A365" s="15" t="n">
        <v>364</v>
      </c>
      <c r="B365" s="16" t="n">
        <f aca="false">IF(YEAR(DATE(Calcolo!$B$4,1,1)+363)=Calcolo!$B$4,DATE(Calcolo!$B$4,1,1)+363,"")</f>
        <v>46021</v>
      </c>
      <c r="C365" s="17" t="n">
        <f aca="false">IF(B365="","",Calcolo!$B$5+SUMIFS(Calcolo!$C$16:$C$515,Calcolo!$A$16:$A$515,"&gt;="&amp;DATE(Calcolo!$B$4,1,1),Calcolo!$A$16:$A$515,"&lt;="&amp;B365))</f>
        <v>2700</v>
      </c>
      <c r="D365" s="17" t="n">
        <f aca="false">IF(B365="",0,IF(Calcolo!$B$7="SI",MAX(0,C365),C365))</f>
        <v>2700</v>
      </c>
    </row>
    <row r="366" customFormat="false" ht="15" hidden="false" customHeight="false" outlineLevel="0" collapsed="false">
      <c r="A366" s="15" t="n">
        <v>365</v>
      </c>
      <c r="B366" s="16" t="n">
        <f aca="false">IF(YEAR(DATE(Calcolo!$B$4,1,1)+364)=Calcolo!$B$4,DATE(Calcolo!$B$4,1,1)+364,"")</f>
        <v>46022</v>
      </c>
      <c r="C366" s="17" t="n">
        <f aca="false">IF(B366="","",Calcolo!$B$5+SUMIFS(Calcolo!$C$16:$C$515,Calcolo!$A$16:$A$515,"&gt;="&amp;DATE(Calcolo!$B$4,1,1),Calcolo!$A$16:$A$515,"&lt;="&amp;B366))</f>
        <v>2700</v>
      </c>
      <c r="D366" s="17" t="n">
        <f aca="false">IF(B366="",0,IF(Calcolo!$B$7="SI",MAX(0,C366),C366))</f>
        <v>2700</v>
      </c>
    </row>
    <row r="367" customFormat="false" ht="15" hidden="false" customHeight="false" outlineLevel="0" collapsed="false">
      <c r="A367" s="15" t="n">
        <v>366</v>
      </c>
      <c r="B367" s="16" t="str">
        <f aca="false">IF(YEAR(DATE(Calcolo!$B$4,1,1)+365)=Calcolo!$B$4,DATE(Calcolo!$B$4,1,1)+365,"")</f>
        <v/>
      </c>
      <c r="C367" s="17" t="str">
        <f aca="false">IF(B367="","",Calcolo!$B$5+SUMIFS(Calcolo!$C$16:$C$515,Calcolo!$A$16:$A$515,"&gt;="&amp;DATE(Calcolo!$B$4,1,1),Calcolo!$A$16:$A$515,"&lt;="&amp;B367))</f>
        <v/>
      </c>
      <c r="D367" s="17" t="n">
        <f aca="false">IF(B367="",0,IF(Calcolo!$B$7="SI",MAX(0,C367),C367))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8" t="s">
        <v>22</v>
      </c>
    </row>
    <row r="2" customFormat="false" ht="15" hidden="false" customHeight="false" outlineLevel="0" collapsed="false">
      <c r="A2" s="19" t="s">
        <v>23</v>
      </c>
    </row>
    <row r="3" customFormat="false" ht="15" hidden="false" customHeight="false" outlineLevel="0" collapsed="false">
      <c r="A3" s="19" t="s">
        <v>24</v>
      </c>
    </row>
    <row r="4" customFormat="false" ht="15" hidden="false" customHeight="false" outlineLevel="0" collapsed="false">
      <c r="A4" s="19" t="s">
        <v>25</v>
      </c>
    </row>
    <row r="5" customFormat="false" ht="15" hidden="false" customHeight="false" outlineLevel="0" collapsed="false">
      <c r="A5" s="19"/>
    </row>
    <row r="6" customFormat="false" ht="15" hidden="false" customHeight="false" outlineLevel="0" collapsed="false">
      <c r="A6" s="18" t="s">
        <v>26</v>
      </c>
    </row>
    <row r="7" customFormat="false" ht="26.85" hidden="false" customHeight="false" outlineLevel="0" collapsed="false">
      <c r="A7" s="19" t="s">
        <v>27</v>
      </c>
    </row>
    <row r="8" customFormat="false" ht="15" hidden="false" customHeight="false" outlineLevel="0" collapsed="false">
      <c r="A8" s="19" t="s">
        <v>28</v>
      </c>
    </row>
    <row r="9" customFormat="false" ht="15" hidden="false" customHeight="false" outlineLevel="0" collapsed="false">
      <c r="A9" s="19" t="s">
        <v>29</v>
      </c>
    </row>
    <row r="10" customFormat="false" ht="26.85" hidden="false" customHeight="false" outlineLevel="0" collapsed="false">
      <c r="A10" s="19" t="s">
        <v>30</v>
      </c>
    </row>
    <row r="11" customFormat="false" ht="15" hidden="false" customHeight="false" outlineLevel="0" collapsed="false">
      <c r="A11" s="19"/>
    </row>
    <row r="12" customFormat="false" ht="15" hidden="false" customHeight="false" outlineLevel="0" collapsed="false">
      <c r="A12" s="18" t="s">
        <v>31</v>
      </c>
    </row>
    <row r="13" customFormat="false" ht="26.85" hidden="false" customHeight="false" outlineLevel="0" collapsed="false">
      <c r="A13" s="19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2026-10-07T04:54:07Z</dcterms:created>
  <dc:creator>openpyxl</dc:creator>
  <dc:description/>
  <dc:language>en-US</dc:language>
  <cp:lastModifiedBy/>
  <dcterms:modified xsi:type="dcterms:W3CDTF">2026-10-07T04:54:07Z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